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公示名单（免申即享）第一批" sheetId="1" r:id="rId1"/>
    <sheet name="Sheet1" sheetId="2" r:id="rId2"/>
  </sheets>
  <definedNames>
    <definedName name="_xlnm._FilterDatabase" localSheetId="1" hidden="1">Sheet1!$A$2:$WCF$467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<sst xmlns="http://schemas.openxmlformats.org/spreadsheetml/2006/main" count="5268" uniqueCount="2583">
  <si>
    <t>2025年“免申即享”失业保险稳岗返还                  参保企业（第一批）公示名单</t>
  </si>
  <si>
    <t>序号</t>
  </si>
  <si>
    <t>企业名称</t>
  </si>
  <si>
    <t>单位编号</t>
  </si>
  <si>
    <t>内蒙古中文在线数字科技有限公司</t>
  </si>
  <si>
    <t>鄂尔多斯市康巴什区国佑资产投资集团有限公司</t>
  </si>
  <si>
    <t>内蒙古百联百胜金宸国际商业管理有限责任公司</t>
  </si>
  <si>
    <t>鄂尔多斯市智能网联科技有限责任公司</t>
  </si>
  <si>
    <t>内蒙古章然档案技术服务有限公司</t>
  </si>
  <si>
    <t>鄂尔多斯市康巴什区泽康资产管理有限公司</t>
  </si>
  <si>
    <t>内蒙古京港环保科技有限责任公司</t>
  </si>
  <si>
    <t>内蒙古远通道路科技有限公司</t>
  </si>
  <si>
    <t>鄂尔多斯市安泰维尔信息科技有限公司</t>
  </si>
  <si>
    <t>内蒙古国诚科技有限公司</t>
  </si>
  <si>
    <t>鄂尔多斯市星际客运出租有限责任公司</t>
  </si>
  <si>
    <t>内蒙古翰鼎建设有限公司</t>
  </si>
  <si>
    <t>鄂尔多斯市阜运达物流有限公司</t>
  </si>
  <si>
    <t>鄂尔多斯市风神商贸有限公司</t>
  </si>
  <si>
    <t>内蒙古中辰达工程项目管理有限公司</t>
  </si>
  <si>
    <t>鄂尔多斯市润康医药有限公司</t>
  </si>
  <si>
    <t>内蒙古物联科技有限公司</t>
  </si>
  <si>
    <t>鄂尔多斯市方兴商业综合体有限责任公司</t>
  </si>
  <si>
    <t>内蒙古正云环保科技有限公司</t>
  </si>
  <si>
    <t>国家能源集团物资有限公司鄂尔多斯采购中心</t>
  </si>
  <si>
    <t>鄂尔多斯市品诺房地产经纪有限责任公司</t>
  </si>
  <si>
    <t>内蒙古协创恒源信息科技有限责任公司</t>
  </si>
  <si>
    <t>内蒙古一康健康发展有限责任公司</t>
  </si>
  <si>
    <t>内蒙古隆兴商贸有限责任公司</t>
  </si>
  <si>
    <t>鄂尔多斯市隆苑大酒店有限责任公司</t>
  </si>
  <si>
    <t>鄂尔多斯市康诚软件科技有限公司</t>
  </si>
  <si>
    <t>鄂尔多斯市玺晟文化发展有限公司</t>
  </si>
  <si>
    <t>内蒙古九维勘测技术有限公司</t>
  </si>
  <si>
    <t>鄂尔多斯市通惠水务有限公司</t>
  </si>
  <si>
    <t>鄂尔多斯市东胜区乐高科技培训有限公司康巴什区分公司</t>
  </si>
  <si>
    <t>内蒙古奥达工程科技有限公司</t>
  </si>
  <si>
    <t>鄂尔多斯市铭源投资管理有限责任公司</t>
  </si>
  <si>
    <t>内蒙古腾跃信息科技有限公司</t>
  </si>
  <si>
    <t>鄂尔多斯市建设职业培训学校</t>
  </si>
  <si>
    <t>鄂尔多斯市百诺商贸有限责任公司</t>
  </si>
  <si>
    <t>内蒙古创茗建设工程有限公司</t>
  </si>
  <si>
    <t>内蒙古数矿科技有限公司</t>
  </si>
  <si>
    <t>内蒙古瑞鎏科技有限公司</t>
  </si>
  <si>
    <t>企业信用代码</t>
  </si>
  <si>
    <t>企业编号</t>
  </si>
  <si>
    <t>企业性质</t>
  </si>
  <si>
    <t>法人代表</t>
  </si>
  <si>
    <t>联系电话</t>
  </si>
  <si>
    <t>申请提交时间</t>
  </si>
  <si>
    <t>行业类别</t>
  </si>
  <si>
    <t>企业开户行行号</t>
  </si>
  <si>
    <t>返还人数</t>
  </si>
  <si>
    <t>缴费金额</t>
  </si>
  <si>
    <t>返还金额</t>
  </si>
  <si>
    <t>返还比例</t>
  </si>
  <si>
    <t>初审结果</t>
  </si>
  <si>
    <t>初审备注</t>
  </si>
  <si>
    <t>复审结果</t>
  </si>
  <si>
    <t>91150691MA0QRQRU64</t>
  </si>
  <si>
    <t>其他有限责任（公司）</t>
  </si>
  <si>
    <t>李桂生（刘磊）</t>
  </si>
  <si>
    <t>20240516</t>
  </si>
  <si>
    <t>其他综合管理服务</t>
  </si>
  <si>
    <t>313205010111</t>
  </si>
  <si>
    <t>13</t>
  </si>
  <si>
    <t>6812.64|6857.46</t>
  </si>
  <si>
    <t>4087.58</t>
  </si>
  <si>
    <t>通过</t>
  </si>
  <si>
    <t>，金额不同，22年底开始交</t>
  </si>
  <si>
    <t>无</t>
  </si>
  <si>
    <t>91150691MA7L7XB316</t>
  </si>
  <si>
    <t>陈红军</t>
  </si>
  <si>
    <t>15149606228</t>
  </si>
  <si>
    <t>专业技术服务业</t>
  </si>
  <si>
    <t>305205087023</t>
  </si>
  <si>
    <t>12</t>
  </si>
  <si>
    <t>17986.72</t>
  </si>
  <si>
    <t>10792.03</t>
  </si>
  <si>
    <t>91150691MA0QBALU79</t>
  </si>
  <si>
    <t>陈怀舟</t>
  </si>
  <si>
    <t>商务服务业</t>
  </si>
  <si>
    <t>1</t>
  </si>
  <si>
    <t>720.16</t>
  </si>
  <si>
    <t>432.1</t>
  </si>
  <si>
    <t>内蒙古华义电力有限责任公司</t>
  </si>
  <si>
    <t>91150691341389691D</t>
  </si>
  <si>
    <t>李俊生</t>
  </si>
  <si>
    <t>13150854296</t>
  </si>
  <si>
    <t>其他电力生产</t>
  </si>
  <si>
    <t>105205066501</t>
  </si>
  <si>
    <t>600</t>
  </si>
  <si>
    <t>360</t>
  </si>
  <si>
    <t>91150691MA13PUGNX9</t>
  </si>
  <si>
    <t>郭栋</t>
  </si>
  <si>
    <t>15044748801</t>
  </si>
  <si>
    <t>建筑装饰、装修和其他建筑业</t>
  </si>
  <si>
    <t>105205066528</t>
  </si>
  <si>
    <t>31</t>
  </si>
  <si>
    <t>30370.54</t>
  </si>
  <si>
    <t>18222.32</t>
  </si>
  <si>
    <t>内蒙古天耀能源有限公司</t>
  </si>
  <si>
    <t>91150691MA0QMC951D</t>
  </si>
  <si>
    <t>辛庆力</t>
  </si>
  <si>
    <t>18047706674</t>
  </si>
  <si>
    <t>批发业</t>
  </si>
  <si>
    <t>103205036214</t>
  </si>
  <si>
    <t>4</t>
  </si>
  <si>
    <t>2157.44</t>
  </si>
  <si>
    <t>1294.46</t>
  </si>
  <si>
    <t>91150691MA0Q5H3P8U</t>
  </si>
  <si>
    <t>韩世洋</t>
  </si>
  <si>
    <t>15947366990</t>
  </si>
  <si>
    <t>零售业</t>
  </si>
  <si>
    <t>102205008160</t>
  </si>
  <si>
    <t>576.18</t>
  </si>
  <si>
    <t>345.71</t>
  </si>
  <si>
    <t>8月差额，已通知</t>
  </si>
  <si>
    <t>未审</t>
  </si>
  <si>
    <t>鄂尔多斯市世鸿商贸有限责任公司</t>
  </si>
  <si>
    <t>91150626341406295X</t>
  </si>
  <si>
    <t>18847771208</t>
  </si>
  <si>
    <t>信息传输、软件和信息技术服务业</t>
  </si>
  <si>
    <t>310205012214</t>
  </si>
  <si>
    <t>582.66</t>
  </si>
  <si>
    <t>349.6</t>
  </si>
  <si>
    <t>91150602MA0NCN68XN</t>
  </si>
  <si>
    <t>13789679598</t>
  </si>
  <si>
    <t>教育</t>
  </si>
  <si>
    <t>402205075128</t>
  </si>
  <si>
    <t>2</t>
  </si>
  <si>
    <t>1882.44</t>
  </si>
  <si>
    <t>1129.46</t>
  </si>
  <si>
    <t>91150691558147677F</t>
  </si>
  <si>
    <t>白昊伦</t>
  </si>
  <si>
    <t>18210912996</t>
  </si>
  <si>
    <t>新能源技术推广服务</t>
  </si>
  <si>
    <t>308205036022</t>
  </si>
  <si>
    <t>5</t>
  </si>
  <si>
    <t>4092</t>
  </si>
  <si>
    <t>2455.2</t>
  </si>
  <si>
    <t>鄂尔多斯市志远驾驶员培训有限公司</t>
  </si>
  <si>
    <t>91150691089573365F</t>
  </si>
  <si>
    <t>郭毛仁</t>
  </si>
  <si>
    <t>13948677761</t>
  </si>
  <si>
    <t>20240520</t>
  </si>
  <si>
    <t>房屋建筑业</t>
  </si>
  <si>
    <t>402205075257</t>
  </si>
  <si>
    <t>7</t>
  </si>
  <si>
    <t>3950.88</t>
  </si>
  <si>
    <t>2370.53</t>
  </si>
  <si>
    <t>内蒙古亿新科技有限公司</t>
  </si>
  <si>
    <t>91150691MA0Q51EC8B</t>
  </si>
  <si>
    <t>张美文（王丽娜）</t>
  </si>
  <si>
    <t>18747755853</t>
  </si>
  <si>
    <t>其他服务业</t>
  </si>
  <si>
    <t>402205081219</t>
  </si>
  <si>
    <t>7709.04</t>
  </si>
  <si>
    <t>4625.42</t>
  </si>
  <si>
    <t>内蒙古合众劳务有限公司</t>
  </si>
  <si>
    <t>91150691MA0QB2BD2E</t>
  </si>
  <si>
    <t>15661801218</t>
  </si>
  <si>
    <t>313205000358</t>
  </si>
  <si>
    <t>2913.3</t>
  </si>
  <si>
    <t>1747.98</t>
  </si>
  <si>
    <t>退回</t>
  </si>
  <si>
    <t>内蒙古泓聚科技有限公司</t>
  </si>
  <si>
    <t>91150691MA0QJ14290</t>
  </si>
  <si>
    <t>15248471789</t>
  </si>
  <si>
    <t>建筑业</t>
  </si>
  <si>
    <t>313205000702</t>
  </si>
  <si>
    <t>537.84</t>
  </si>
  <si>
    <t>322.7</t>
  </si>
  <si>
    <t>91150602MA0MXY6WX6</t>
  </si>
  <si>
    <t>张燕</t>
  </si>
  <si>
    <t>15924572229</t>
  </si>
  <si>
    <t>土木工程建筑业</t>
  </si>
  <si>
    <t>402205881264</t>
  </si>
  <si>
    <t>6</t>
  </si>
  <si>
    <t>有欠费</t>
  </si>
  <si>
    <t>91150691MA13NU72XR</t>
  </si>
  <si>
    <t>退回
二次复审通过</t>
  </si>
  <si>
    <t>鄂尔多斯市东方泰达商贸有限责任公司</t>
  </si>
  <si>
    <t>91150691MA13NG9P2P</t>
  </si>
  <si>
    <t>倪文华（白小勇）</t>
  </si>
  <si>
    <t>18686166335</t>
  </si>
  <si>
    <t>308205036047</t>
  </si>
  <si>
    <t>896.4</t>
  </si>
  <si>
    <t>91150691MA0MWA2YX6</t>
  </si>
  <si>
    <t>马增光</t>
  </si>
  <si>
    <t>15047773438</t>
  </si>
  <si>
    <t>租赁和商务服务业</t>
  </si>
  <si>
    <t>105205089366</t>
  </si>
  <si>
    <t>10</t>
  </si>
  <si>
    <t>4738.62</t>
  </si>
  <si>
    <t>2843.17</t>
  </si>
  <si>
    <t>91150691MA0Q66WB36</t>
  </si>
  <si>
    <t>王世恒</t>
  </si>
  <si>
    <t>19904777950</t>
  </si>
  <si>
    <t>道路运输业</t>
  </si>
  <si>
    <t>402205075208</t>
  </si>
  <si>
    <t>2835.04</t>
  </si>
  <si>
    <t>1701.02</t>
  </si>
  <si>
    <t>内蒙古隆正工程有限公司</t>
  </si>
  <si>
    <t>91150691MA0QA6RG4C</t>
  </si>
  <si>
    <t>方亮雷</t>
  </si>
  <si>
    <t>15849317373</t>
  </si>
  <si>
    <t>3</t>
  </si>
  <si>
    <t>2170.68</t>
  </si>
  <si>
    <t>1302.41</t>
  </si>
  <si>
    <t>内蒙古亨通商贸有限公司</t>
  </si>
  <si>
    <t>91150691MA0Q32DM5D</t>
  </si>
  <si>
    <t>耿海武</t>
  </si>
  <si>
    <t>15047369866</t>
  </si>
  <si>
    <t>其他广告服务</t>
  </si>
  <si>
    <t>402205840196</t>
  </si>
  <si>
    <t>1613.52</t>
  </si>
  <si>
    <t>968.11</t>
  </si>
  <si>
    <t>91150691MA0PXYG98C</t>
  </si>
  <si>
    <t>杨呼</t>
  </si>
  <si>
    <t>18047709651</t>
  </si>
  <si>
    <t>软件和信息技术服务业</t>
  </si>
  <si>
    <t>402205075304</t>
  </si>
  <si>
    <t>8</t>
  </si>
  <si>
    <t>4302.72</t>
  </si>
  <si>
    <t>2581.63</t>
  </si>
  <si>
    <t>内蒙古聚星劳务有限公司</t>
  </si>
  <si>
    <t>91150691MA0PYLK26F</t>
  </si>
  <si>
    <t>张红胜（胡国庆）</t>
  </si>
  <si>
    <t>15149572666</t>
  </si>
  <si>
    <t>11</t>
  </si>
  <si>
    <t>20615.36</t>
  </si>
  <si>
    <t>12369.22</t>
  </si>
  <si>
    <t>鄂尔多斯市车之友汽车服务有限公司</t>
  </si>
  <si>
    <t>91150691MA0N41G47E</t>
  </si>
  <si>
    <t>白小勇</t>
  </si>
  <si>
    <t>房地产业</t>
  </si>
  <si>
    <t>150205066501</t>
  </si>
  <si>
    <t>1254.96</t>
  </si>
  <si>
    <t>752.98</t>
  </si>
  <si>
    <t>91150602MA0N5QGH7W</t>
  </si>
  <si>
    <t>15049870078</t>
  </si>
  <si>
    <t>文化艺术业</t>
  </si>
  <si>
    <t>102205005466</t>
  </si>
  <si>
    <t>3271.86</t>
  </si>
  <si>
    <t>1963.12</t>
  </si>
  <si>
    <t>8月差额</t>
  </si>
  <si>
    <t>91150691MA0Q149W60</t>
  </si>
  <si>
    <t>高健</t>
  </si>
  <si>
    <t>18947371055</t>
  </si>
  <si>
    <t>鄂尔多斯市思域广告有限公司</t>
  </si>
  <si>
    <t>91150627MA0MYGKQ6E</t>
  </si>
  <si>
    <t>闫丽娅</t>
  </si>
  <si>
    <t>13947730039</t>
  </si>
  <si>
    <t>105205002003</t>
  </si>
  <si>
    <t>鄂尔多斯市荣鑫达建设有限公司（20240417注销）</t>
  </si>
  <si>
    <t>91150691067516933Y</t>
  </si>
  <si>
    <t>13848777007</t>
  </si>
  <si>
    <t>批发和零售业</t>
  </si>
  <si>
    <t>105205066392</t>
  </si>
  <si>
    <t>2868.48</t>
  </si>
  <si>
    <t>1721.09</t>
  </si>
  <si>
    <t>91150691MA0Q2BNK1B</t>
  </si>
  <si>
    <t>王佳慧</t>
  </si>
  <si>
    <t>402205881297</t>
  </si>
  <si>
    <t>1075.68</t>
  </si>
  <si>
    <t>645.41</t>
  </si>
  <si>
    <t>91150691MA0QLJEE0K</t>
  </si>
  <si>
    <t>15047777100</t>
  </si>
  <si>
    <t>402205840346</t>
  </si>
  <si>
    <t>91150691318571209Y</t>
  </si>
  <si>
    <t>苗飞飞</t>
  </si>
  <si>
    <t>餐饮业</t>
  </si>
  <si>
    <t>313205000559</t>
  </si>
  <si>
    <t>1630.86</t>
  </si>
  <si>
    <t>978.52</t>
  </si>
  <si>
    <t>行政处罚</t>
  </si>
  <si>
    <t>鄂尔多斯市康巴什区蒙音艺术培训学校有限公司</t>
  </si>
  <si>
    <t>91150691MA0Q1KRD91</t>
  </si>
  <si>
    <t>15750693339</t>
  </si>
  <si>
    <t>4860.06</t>
  </si>
  <si>
    <t>2916.04</t>
  </si>
  <si>
    <t>鄂尔多斯市安康劳务服务有限公司</t>
  </si>
  <si>
    <t>91150691MA13NXDP4J</t>
  </si>
  <si>
    <t>乔铉清</t>
  </si>
  <si>
    <t>15247730027</t>
  </si>
  <si>
    <t>科学研究和技术服务业</t>
  </si>
  <si>
    <t>3920.18</t>
  </si>
  <si>
    <t>2352.11</t>
  </si>
  <si>
    <t>鄂尔多斯市康巴什区原点培训有限公司</t>
  </si>
  <si>
    <t>91150691MA0QA82W1B</t>
  </si>
  <si>
    <t>杨玉峰（秦元厅）</t>
  </si>
  <si>
    <t>13474774700</t>
  </si>
  <si>
    <t>91150602MA0N48618B</t>
  </si>
  <si>
    <t>国有独资（公司）</t>
  </si>
  <si>
    <t>李瑞</t>
  </si>
  <si>
    <t>18547770119</t>
  </si>
  <si>
    <t>煤炭开采和洗选业</t>
  </si>
  <si>
    <t>24</t>
  </si>
  <si>
    <t>30930.02</t>
  </si>
  <si>
    <t>18558.01</t>
  </si>
  <si>
    <t>鄂尔多斯市诺恩吉雅旅游文化有限责任公司</t>
  </si>
  <si>
    <t>91150691MA0PYAC17H</t>
  </si>
  <si>
    <t>杨洪昌（李昕辉）</t>
  </si>
  <si>
    <t>18847700814</t>
  </si>
  <si>
    <t>20</t>
  </si>
  <si>
    <t>15623.38</t>
  </si>
  <si>
    <t>9374.03</t>
  </si>
  <si>
    <t>鄂尔多斯市博古文化艺术传播有限公司</t>
  </si>
  <si>
    <t>911506910578206910</t>
  </si>
  <si>
    <t>杨东</t>
  </si>
  <si>
    <t>15947337771</t>
  </si>
  <si>
    <t>房地产开发经营</t>
  </si>
  <si>
    <t>28</t>
  </si>
  <si>
    <t>24652.78</t>
  </si>
  <si>
    <t>14791.67</t>
  </si>
  <si>
    <t>91150691MA0N5LK26B</t>
  </si>
  <si>
    <t>张朕宁</t>
  </si>
  <si>
    <t>15804771187</t>
  </si>
  <si>
    <t>工程管理服务</t>
  </si>
  <si>
    <t>1810.14</t>
  </si>
  <si>
    <t>1086.08</t>
  </si>
  <si>
    <t>911506913998769868</t>
  </si>
  <si>
    <t>张立学</t>
  </si>
  <si>
    <t>15047399384</t>
  </si>
  <si>
    <t>自来水生产和供应</t>
  </si>
  <si>
    <t>11581.62</t>
  </si>
  <si>
    <t>6948.97</t>
  </si>
  <si>
    <t>鄂尔多斯市理想家文化艺术传媒有限责任公司</t>
  </si>
  <si>
    <t>91150691MA0QALMM2R</t>
  </si>
  <si>
    <t>程智平</t>
  </si>
  <si>
    <t>4750.92</t>
  </si>
  <si>
    <t>2850.55</t>
  </si>
  <si>
    <t>内蒙古众鑫和汽贸有限公司</t>
  </si>
  <si>
    <t>91150691099056425C</t>
  </si>
  <si>
    <t>刘波</t>
  </si>
  <si>
    <t>其他未列明零售业</t>
  </si>
  <si>
    <t>鄂尔多斯市正企中桥科技有限公司</t>
  </si>
  <si>
    <t>91150691MA0PYRX68N</t>
  </si>
  <si>
    <t>高旭</t>
  </si>
  <si>
    <t>15598797369</t>
  </si>
  <si>
    <t>104205000035</t>
  </si>
  <si>
    <t>15</t>
  </si>
  <si>
    <t>7350.48</t>
  </si>
  <si>
    <t>4410.29</t>
  </si>
  <si>
    <t>通过（已通知到社保改单位名称）</t>
  </si>
  <si>
    <t>鄂尔多斯市康巴什区墨坛艺术培训中心有限公司</t>
  </si>
  <si>
    <t>91150691MA0Q5CB94A</t>
  </si>
  <si>
    <t>刘学峰（苏梅）</t>
  </si>
  <si>
    <t>13704777492</t>
  </si>
  <si>
    <t>58</t>
  </si>
  <si>
    <t>61549.74</t>
  </si>
  <si>
    <t>36929.84</t>
  </si>
  <si>
    <t>91150691MA0Q5WW335</t>
  </si>
  <si>
    <t>胡爱玲</t>
  </si>
  <si>
    <t>17747216664</t>
  </si>
  <si>
    <t>通过，行号待维护</t>
  </si>
  <si>
    <t>鄂尔多斯市康能新能源投资有限公司</t>
  </si>
  <si>
    <t>91150691MA0Q7PLD7R</t>
  </si>
  <si>
    <t>李雄雄</t>
  </si>
  <si>
    <t>研究和试验发展</t>
  </si>
  <si>
    <t>302205027511</t>
  </si>
  <si>
    <t>鄂尔多斯市康育教育服务有限公司</t>
  </si>
  <si>
    <t>91150691MA0QLGJ930</t>
  </si>
  <si>
    <t>其他内资</t>
  </si>
  <si>
    <t>李云飞</t>
  </si>
  <si>
    <t>15149719188</t>
  </si>
  <si>
    <t>5674.8</t>
  </si>
  <si>
    <t>3404.88</t>
  </si>
  <si>
    <t>内蒙古中农高科科技有限公司</t>
  </si>
  <si>
    <t>91150691MA0NJKA0XT</t>
  </si>
  <si>
    <t>南少华</t>
  </si>
  <si>
    <t>15247706385</t>
  </si>
  <si>
    <t>3720.06</t>
  </si>
  <si>
    <t>2232.04</t>
  </si>
  <si>
    <t>鄂尔多斯市通惠置业有限责任公司</t>
  </si>
  <si>
    <t>91150691MA0PTEG59G</t>
  </si>
  <si>
    <t>股份有限（公司）</t>
  </si>
  <si>
    <t>边晓慧</t>
  </si>
  <si>
    <t>13337069210</t>
  </si>
  <si>
    <t>建筑安装业</t>
  </si>
  <si>
    <t>402205840223</t>
  </si>
  <si>
    <t>19</t>
  </si>
  <si>
    <t>11294.72</t>
  </si>
  <si>
    <t>6776.83</t>
  </si>
  <si>
    <t>91150691MA0Q9MPW0M</t>
  </si>
  <si>
    <t>呼和都鲁</t>
  </si>
  <si>
    <t>工艺美术品及收藏品零售</t>
  </si>
  <si>
    <t>103205036118</t>
  </si>
  <si>
    <t>91150691MA0QA4J587</t>
  </si>
  <si>
    <t>李红旭</t>
  </si>
  <si>
    <t>18047767191</t>
  </si>
  <si>
    <t>104205003046</t>
  </si>
  <si>
    <t>5154.3</t>
  </si>
  <si>
    <t>3092.58</t>
  </si>
  <si>
    <t>鄂尔多斯市鑫宝润泰煤炭有限公司</t>
  </si>
  <si>
    <t>91150691MA0NDR3W34</t>
  </si>
  <si>
    <t>张占军</t>
  </si>
  <si>
    <t>铁路、船舶、航空航天和其他运输设备制造业</t>
  </si>
  <si>
    <t>103205838937</t>
  </si>
  <si>
    <t>内蒙古寿康智慧养老服务公司</t>
  </si>
  <si>
    <t>911502910851988795</t>
  </si>
  <si>
    <t>王浩</t>
  </si>
  <si>
    <t>采矿业</t>
  </si>
  <si>
    <t>1620.48</t>
  </si>
  <si>
    <t>972.29</t>
  </si>
  <si>
    <t>鄂尔多斯市万聚信息工程有限责任公司</t>
  </si>
  <si>
    <t>911506915706196574</t>
  </si>
  <si>
    <t>石瑞</t>
  </si>
  <si>
    <t>其他技术推广服务</t>
  </si>
  <si>
    <t>1080</t>
  </si>
  <si>
    <t>648</t>
  </si>
  <si>
    <t>鄂尔多斯市东胜区乐高教育培训学校有限责任公司康巴什分公司</t>
  </si>
  <si>
    <t>91150691MA0Q8UHM4C</t>
  </si>
  <si>
    <t>王静</t>
  </si>
  <si>
    <t>其他科技推广服务业</t>
  </si>
  <si>
    <t>91150602MA0NR52P62</t>
  </si>
  <si>
    <t>郝墩苍</t>
  </si>
  <si>
    <t>723.12</t>
  </si>
  <si>
    <t>433.87</t>
  </si>
  <si>
    <t>91150691MA0QBDHUX2</t>
  </si>
  <si>
    <t>裴良宽</t>
  </si>
  <si>
    <t>13704771005</t>
  </si>
  <si>
    <t>噪声与振动控制服务</t>
  </si>
  <si>
    <t>402205844077</t>
  </si>
  <si>
    <t>2085.18</t>
  </si>
  <si>
    <t>1251.11</t>
  </si>
  <si>
    <t>91150691MA0NGDGR3B</t>
  </si>
  <si>
    <t>徐晓东</t>
  </si>
  <si>
    <t>15091660723</t>
  </si>
  <si>
    <t>6229.98</t>
  </si>
  <si>
    <t>3737.99</t>
  </si>
  <si>
    <t>通过，行号</t>
  </si>
  <si>
    <t>52150600MJY260188N</t>
  </si>
  <si>
    <t>蔺剑文</t>
  </si>
  <si>
    <t>15049436722</t>
  </si>
  <si>
    <t>4761.84</t>
  </si>
  <si>
    <t>2857.1</t>
  </si>
  <si>
    <t>通过，8月差额，行号</t>
  </si>
  <si>
    <t>91150691MA0NC9BC6Y</t>
  </si>
  <si>
    <t>张玉伟</t>
  </si>
  <si>
    <t>其他专业咨询与调查</t>
  </si>
  <si>
    <t>2160.24</t>
  </si>
  <si>
    <t>1296.14</t>
  </si>
  <si>
    <t>91150691MA0Q19TR6H</t>
  </si>
  <si>
    <t>吕叶</t>
  </si>
  <si>
    <t>15134840006</t>
  </si>
  <si>
    <t>717.12</t>
  </si>
  <si>
    <t>430.27</t>
  </si>
  <si>
    <t>鄂尔多斯市八字胡蒙古城文化旅游发展有限公司</t>
  </si>
  <si>
    <t>91150602676937215F</t>
  </si>
  <si>
    <t>张朕毓</t>
  </si>
  <si>
    <t>15947170180</t>
  </si>
  <si>
    <t>货币金融服务</t>
  </si>
  <si>
    <t>12370.72</t>
  </si>
  <si>
    <t>7422.43</t>
  </si>
  <si>
    <t>91150691MA0Q0RW160</t>
  </si>
  <si>
    <t>其他</t>
  </si>
  <si>
    <t>王进学</t>
  </si>
  <si>
    <t>13474876982</t>
  </si>
  <si>
    <t>5013.96</t>
  </si>
  <si>
    <t>3008.38</t>
  </si>
  <si>
    <t>91150691MA0N8BRL53</t>
  </si>
  <si>
    <t>刘彦军（秦元厅）</t>
  </si>
  <si>
    <t>鄂尔多斯市浩渊矿业工程有限公司</t>
  </si>
  <si>
    <t>91150691MA0N7EW402</t>
  </si>
  <si>
    <t>私营有限责任（公司）</t>
  </si>
  <si>
    <t>张世旗</t>
  </si>
  <si>
    <t>313205000479</t>
  </si>
  <si>
    <t>内蒙古山瓯矿业科技有限公司</t>
  </si>
  <si>
    <t>91150691MA0Q47BK5U</t>
  </si>
  <si>
    <t>田春梅</t>
  </si>
  <si>
    <t>15849777545</t>
  </si>
  <si>
    <t>房地产中介服务</t>
  </si>
  <si>
    <t>2952.8</t>
  </si>
  <si>
    <t>1771.68</t>
  </si>
  <si>
    <t>鄂尔多斯市星龙煤化工技术有限公司</t>
  </si>
  <si>
    <t>91150691MA0Q6FPW5J</t>
  </si>
  <si>
    <t>刘淑梅</t>
  </si>
  <si>
    <t>18847775968</t>
  </si>
  <si>
    <t>303205052939</t>
  </si>
  <si>
    <t>鄂尔多斯市星链科技有限公司（8.8已注销）</t>
  </si>
  <si>
    <t>91150691MA0QGH7Q13</t>
  </si>
  <si>
    <t>折丽梅</t>
  </si>
  <si>
    <t>劳务派遣服务</t>
  </si>
  <si>
    <t>内蒙古蓝芯科技有限责任公司</t>
  </si>
  <si>
    <t>91150691MA0QGRY910</t>
  </si>
  <si>
    <t>钱良燕</t>
  </si>
  <si>
    <t>其他综合零售</t>
  </si>
  <si>
    <t>102205003413</t>
  </si>
  <si>
    <t>内蒙古九久商贸有限公司</t>
  </si>
  <si>
    <t>91150691MA0Q9UQ66J</t>
  </si>
  <si>
    <t>王永</t>
  </si>
  <si>
    <t>2194.24</t>
  </si>
  <si>
    <t>1316.54</t>
  </si>
  <si>
    <t>内蒙古康和盛世能源科技有限公司</t>
  </si>
  <si>
    <t>91150691MA0Q0HPT3A</t>
  </si>
  <si>
    <t>私有合伙</t>
  </si>
  <si>
    <t>奇志强</t>
  </si>
  <si>
    <t>18104776998</t>
  </si>
  <si>
    <t>公共建筑装饰和装修</t>
  </si>
  <si>
    <t>5243.94|5730.18</t>
  </si>
  <si>
    <t>3146.36</t>
  </si>
  <si>
    <t>通过，金额不同</t>
  </si>
  <si>
    <t>内蒙古伊浩文化旅游发展有限公司</t>
  </si>
  <si>
    <t>91150627MA0MWXH698</t>
  </si>
  <si>
    <t>杜涓</t>
  </si>
  <si>
    <t>13310339494</t>
  </si>
  <si>
    <t>4551.88</t>
  </si>
  <si>
    <t>2731.13</t>
  </si>
  <si>
    <t>已补，未显示</t>
  </si>
  <si>
    <t>内蒙古元隆永泰能源科技有限公司</t>
  </si>
  <si>
    <t>91150691MA0NR09296</t>
  </si>
  <si>
    <t>汪晓芳</t>
  </si>
  <si>
    <t>18204917518</t>
  </si>
  <si>
    <t>5711.64</t>
  </si>
  <si>
    <t>3426.98</t>
  </si>
  <si>
    <t>鄂尔多斯市狼东家餐饮有限公司</t>
  </si>
  <si>
    <t>91150691MA0N4R61X4</t>
  </si>
  <si>
    <t>3311.94</t>
  </si>
  <si>
    <t>1987.16</t>
  </si>
  <si>
    <t>内蒙古丰晟房地产开发有限公司</t>
  </si>
  <si>
    <t>91150691MA0QG6HY0F</t>
  </si>
  <si>
    <t>王振平</t>
  </si>
  <si>
    <t>15149719527</t>
  </si>
  <si>
    <t>肉、禽、蛋、奶及水产品批发</t>
  </si>
  <si>
    <t>鄂尔多斯市康巴什区昕盛教育科技有限公司</t>
  </si>
  <si>
    <t>91150691MA0N3TN50Q</t>
  </si>
  <si>
    <t>布和其劳</t>
  </si>
  <si>
    <t>313205000028</t>
  </si>
  <si>
    <t>1197.84</t>
  </si>
  <si>
    <t>718.7</t>
  </si>
  <si>
    <t>鄂尔多斯市晟馨置业经纪有限公司</t>
  </si>
  <si>
    <t>91150691MA0Q84E04F</t>
  </si>
  <si>
    <t>国有全资</t>
  </si>
  <si>
    <t>刘国庆</t>
  </si>
  <si>
    <t>18747782188</t>
  </si>
  <si>
    <t>其他未包括金融业</t>
  </si>
  <si>
    <t>7328.7</t>
  </si>
  <si>
    <t>4397.22</t>
  </si>
  <si>
    <t>鄂尔多斯市农牧业融资担保有限公司</t>
  </si>
  <si>
    <t>91150600MA0QBUW22E</t>
  </si>
  <si>
    <t>鄂尔多斯市康伊商贸有限责任公司</t>
  </si>
  <si>
    <t>91150691MA0Q6BNR0D</t>
  </si>
  <si>
    <t>苗芳</t>
  </si>
  <si>
    <t>15149628006</t>
  </si>
  <si>
    <t>石油和天然气开采业</t>
  </si>
  <si>
    <t>1920.44</t>
  </si>
  <si>
    <t>1152.26</t>
  </si>
  <si>
    <t>鄂尔多斯市康巴什酒业有限公司</t>
  </si>
  <si>
    <t>911506915973275230</t>
  </si>
  <si>
    <t>刘国成</t>
  </si>
  <si>
    <t>15704959911</t>
  </si>
  <si>
    <t>14</t>
  </si>
  <si>
    <t>8264.94</t>
  </si>
  <si>
    <t>4958.96</t>
  </si>
  <si>
    <t>内蒙古智汇恒升环保科技有限公司</t>
  </si>
  <si>
    <t>91150691MA0Q87GEXC</t>
  </si>
  <si>
    <t>贾凤刚</t>
  </si>
  <si>
    <t>家具零售</t>
  </si>
  <si>
    <t>内蒙古正信房产有限公司</t>
  </si>
  <si>
    <t>91150691MA0Q8JRE2B</t>
  </si>
  <si>
    <t>訾晓军</t>
  </si>
  <si>
    <t>13294894777</t>
  </si>
  <si>
    <t>302205827555</t>
  </si>
  <si>
    <t>3916.76</t>
  </si>
  <si>
    <t>2350.06</t>
  </si>
  <si>
    <t>鄂尔多斯市裕兴房屋信息咨询有限责任公司</t>
  </si>
  <si>
    <t>91150691MA0NBKQH7H</t>
  </si>
  <si>
    <t>张飞</t>
  </si>
  <si>
    <t>节能技术推广服务</t>
  </si>
  <si>
    <t>102205000085</t>
  </si>
  <si>
    <t>2689.2</t>
  </si>
  <si>
    <t>鄂尔多斯市伊凯劳务服务有限公司</t>
  </si>
  <si>
    <t>91150691MA0QG42B1B</t>
  </si>
  <si>
    <t>李小刚</t>
  </si>
  <si>
    <t>规划设计管理</t>
  </si>
  <si>
    <t>402205075005</t>
  </si>
  <si>
    <t>1820</t>
  </si>
  <si>
    <t>1092</t>
  </si>
  <si>
    <t>内蒙古普华永道科技有限公司</t>
  </si>
  <si>
    <t>91150691MA0Q9TEB8X</t>
  </si>
  <si>
    <t>私有独资</t>
  </si>
  <si>
    <t>张鑫</t>
  </si>
  <si>
    <t>15134882143</t>
  </si>
  <si>
    <t>西药零售</t>
  </si>
  <si>
    <t>1200</t>
  </si>
  <si>
    <t>720</t>
  </si>
  <si>
    <t>内蒙古北部数据服务有限公司</t>
  </si>
  <si>
    <t>91150691MA0Q26J5XQ</t>
  </si>
  <si>
    <t>谢彤</t>
  </si>
  <si>
    <t>3227.04</t>
  </si>
  <si>
    <t>1936.22</t>
  </si>
  <si>
    <t>内蒙古圣茂劳务有限公司</t>
  </si>
  <si>
    <t>91150691MA0PX48E62</t>
  </si>
  <si>
    <t>寇和平</t>
  </si>
  <si>
    <t>煤炭及制品批发</t>
  </si>
  <si>
    <t>22</t>
  </si>
  <si>
    <t>12011.76</t>
  </si>
  <si>
    <t>7207.06</t>
  </si>
  <si>
    <t>鄂尔多斯市康巴什区一众图文设计店</t>
  </si>
  <si>
    <t>92150691MA0NKBP9XQ</t>
  </si>
  <si>
    <t>农、林、牧、渔业</t>
  </si>
  <si>
    <t>鄂尔多斯市宁宇商品混凝土有限责任公司</t>
  </si>
  <si>
    <t>9115069167067037X2</t>
  </si>
  <si>
    <t>韩学波</t>
  </si>
  <si>
    <t>15334777555</t>
  </si>
  <si>
    <t>37</t>
  </si>
  <si>
    <t>22132.76</t>
  </si>
  <si>
    <t>13279.66</t>
  </si>
  <si>
    <t>内蒙古蒙鲁建设有限公司</t>
  </si>
  <si>
    <t>911506913994849740</t>
  </si>
  <si>
    <t>白利花</t>
  </si>
  <si>
    <t>166</t>
  </si>
  <si>
    <t>84110.1|84468.66</t>
  </si>
  <si>
    <t>50466.06</t>
  </si>
  <si>
    <t>通过，金额不同，行号待维护</t>
  </si>
  <si>
    <t>鄂尔多斯市金博睿体育健康服务有限公司</t>
  </si>
  <si>
    <t>91150691MA0PT31N0H</t>
  </si>
  <si>
    <t>宝上越</t>
  </si>
  <si>
    <t>15804876445</t>
  </si>
  <si>
    <t>104205000192</t>
  </si>
  <si>
    <t>3411.98</t>
  </si>
  <si>
    <t>2047.19</t>
  </si>
  <si>
    <t>鄂尔多斯市康巴什区好又多商贸有限公司第一分公司</t>
  </si>
  <si>
    <t>91150691MA0N61AR8L</t>
  </si>
  <si>
    <t>郝帅（李亚春）</t>
  </si>
  <si>
    <t>15134878900</t>
  </si>
  <si>
    <t>居民服务、修理和其他服务业</t>
  </si>
  <si>
    <t>鄂尔多斯市康巴什区好又多商贸有限公司</t>
  </si>
  <si>
    <t>91150691MA0N566U53</t>
  </si>
  <si>
    <t>刘占军</t>
  </si>
  <si>
    <t>15047773286</t>
  </si>
  <si>
    <t>9</t>
  </si>
  <si>
    <t>4889.54</t>
  </si>
  <si>
    <t>2933.72</t>
  </si>
  <si>
    <t>内蒙古沃鼎贸易有限公司</t>
  </si>
  <si>
    <t>91150691MA0Q9DKE7C</t>
  </si>
  <si>
    <t>李政</t>
  </si>
  <si>
    <t>15326964554</t>
  </si>
  <si>
    <t>其他未列明信息技术服务业</t>
  </si>
  <si>
    <t>1434.24</t>
  </si>
  <si>
    <t>860.54</t>
  </si>
  <si>
    <t>鄂尔多斯市康巴什区布特勒民族艺术品有限公司</t>
  </si>
  <si>
    <t>91150691095552587M</t>
  </si>
  <si>
    <t>刘继明</t>
  </si>
  <si>
    <t>15750665777</t>
  </si>
  <si>
    <t>1270</t>
  </si>
  <si>
    <t>762</t>
  </si>
  <si>
    <t>内蒙古鼎新融资担保有限责任公司鄂尔多斯市分公司</t>
  </si>
  <si>
    <t>91150691MA0QAX89X8</t>
  </si>
  <si>
    <t>王玉娇</t>
  </si>
  <si>
    <t>19904775108</t>
  </si>
  <si>
    <t>互联网其他信息服务</t>
  </si>
  <si>
    <t>2507.1</t>
  </si>
  <si>
    <t>1504.26</t>
  </si>
  <si>
    <t>鄂尔多斯市鹏启建筑安装有限公司</t>
  </si>
  <si>
    <t>91150691MA0NPKXE3B</t>
  </si>
  <si>
    <t xml:space="preserve">付立新 </t>
  </si>
  <si>
    <t>13904776482</t>
  </si>
  <si>
    <t>2420.28</t>
  </si>
  <si>
    <t>1452.17</t>
  </si>
  <si>
    <t>内蒙古绿峰环保工程有限公司</t>
  </si>
  <si>
    <t>91150691MA0NKQLD8U</t>
  </si>
  <si>
    <t>武胜利</t>
  </si>
  <si>
    <t>15947373389</t>
  </si>
  <si>
    <t>2185</t>
  </si>
  <si>
    <t>1311</t>
  </si>
  <si>
    <t>内蒙古瑞吉电梯有限公司</t>
  </si>
  <si>
    <t>91150691057815083F</t>
  </si>
  <si>
    <t>柴建军</t>
  </si>
  <si>
    <t>15849739994</t>
  </si>
  <si>
    <t>8426.16</t>
  </si>
  <si>
    <t>5055.7</t>
  </si>
  <si>
    <t>内蒙古东瑞家具销售有限责任公司</t>
  </si>
  <si>
    <t>91150691MA0NEYCDX4</t>
  </si>
  <si>
    <t>15804872454</t>
  </si>
  <si>
    <t>3944.88</t>
  </si>
  <si>
    <t>2366.93</t>
  </si>
  <si>
    <t>鄂尔多斯市国源汇恒企业管理有限责任公司</t>
  </si>
  <si>
    <t>91150691MA0Q630603</t>
  </si>
  <si>
    <t>吴婕</t>
  </si>
  <si>
    <t>18147778788</t>
  </si>
  <si>
    <t>水的生产和供应业</t>
  </si>
  <si>
    <t>52</t>
  </si>
  <si>
    <t>35768.92</t>
  </si>
  <si>
    <t>21461.35</t>
  </si>
  <si>
    <t>内蒙古宇思实业有限责任公司</t>
  </si>
  <si>
    <t>91150691MA0PW7DM6K</t>
  </si>
  <si>
    <t>郝丽</t>
  </si>
  <si>
    <t>102205000323</t>
  </si>
  <si>
    <t>内蒙古镕盛瑞达新能源环保科技有限公司</t>
  </si>
  <si>
    <t>91150691MA0Q87B549</t>
  </si>
  <si>
    <t>折忠祥</t>
  </si>
  <si>
    <t>15374920044</t>
  </si>
  <si>
    <t>19745.16</t>
  </si>
  <si>
    <t>11847.1</t>
  </si>
  <si>
    <t>鄂尔多斯市兴阳规划咨询有限公司</t>
  </si>
  <si>
    <t>91150691MA0PR81K9N</t>
  </si>
  <si>
    <t>内资</t>
  </si>
  <si>
    <t>毕力格</t>
  </si>
  <si>
    <t>18686235909</t>
  </si>
  <si>
    <t>672.3</t>
  </si>
  <si>
    <t>403.38</t>
  </si>
  <si>
    <t>鄂尔多斯市康巴什新区亿康大药房</t>
  </si>
  <si>
    <t>91150691092606244D</t>
  </si>
  <si>
    <t>王建强</t>
  </si>
  <si>
    <t>19975670591</t>
  </si>
  <si>
    <t>鄂尔多斯市康巴什区宸淼艺术培训中心有限责任公司</t>
  </si>
  <si>
    <t>91150691MA0Q9TCX5U</t>
  </si>
  <si>
    <t>18947706480</t>
  </si>
  <si>
    <t>建筑装饰和装修业</t>
  </si>
  <si>
    <t>103205838912</t>
  </si>
  <si>
    <t>2400</t>
  </si>
  <si>
    <t>1440</t>
  </si>
  <si>
    <t>内蒙古聚鸿煤炭运销有限责任公司</t>
  </si>
  <si>
    <t>91150691MA0NAKDXXU</t>
  </si>
  <si>
    <t>兰海军</t>
  </si>
  <si>
    <t>13789748152</t>
  </si>
  <si>
    <t>交通运输、仓储和邮政业</t>
  </si>
  <si>
    <t>558</t>
  </si>
  <si>
    <t>334.8</t>
  </si>
  <si>
    <t>鄂尔多斯市林拓勘测规划设计有限公司</t>
  </si>
  <si>
    <t>91150691MA0NGWX88F</t>
  </si>
  <si>
    <t>万虎成</t>
  </si>
  <si>
    <t>13704776865</t>
  </si>
  <si>
    <t>鄂尔多斯市谊康养老服务有限责任公司</t>
  </si>
  <si>
    <t>91150691MA0Q3KFK02</t>
  </si>
  <si>
    <t>白嘉原</t>
  </si>
  <si>
    <t>15924579842</t>
  </si>
  <si>
    <t>2452.14</t>
  </si>
  <si>
    <t>1471.28</t>
  </si>
  <si>
    <t>未审核</t>
  </si>
  <si>
    <t>未联系，</t>
  </si>
  <si>
    <t>鄂尔多斯市东晟建设工程有限公司</t>
  </si>
  <si>
    <t>91150602575661221N</t>
  </si>
  <si>
    <t>乌日那</t>
  </si>
  <si>
    <t>15947366985</t>
  </si>
  <si>
    <t>2016.9</t>
  </si>
  <si>
    <t>1210.14</t>
  </si>
  <si>
    <t>内蒙古悦榕智胜物业集团有限公司鄂尔多斯市分公司</t>
  </si>
  <si>
    <t>91150691099052512T</t>
  </si>
  <si>
    <t>刘建斌</t>
  </si>
  <si>
    <t>15384770003</t>
  </si>
  <si>
    <t>鄂尔多斯市睿元文化发展有限责任公司</t>
  </si>
  <si>
    <t>91150691353121692H</t>
  </si>
  <si>
    <t>魏宏</t>
  </si>
  <si>
    <t>18947879985</t>
  </si>
  <si>
    <t>会计、审计及税务服务</t>
  </si>
  <si>
    <t>鄂尔多斯市呈服物业管理有限公司</t>
  </si>
  <si>
    <t>91150691MA0MYBTN5J</t>
  </si>
  <si>
    <t>刘香</t>
  </si>
  <si>
    <t>15904774213</t>
  </si>
  <si>
    <t>042205081219</t>
  </si>
  <si>
    <t>3154.74</t>
  </si>
  <si>
    <t>1892.84</t>
  </si>
  <si>
    <t>鄂尔多斯市益佳鑫商贸有限公司</t>
  </si>
  <si>
    <t>91150691MA0PRX8320</t>
  </si>
  <si>
    <t>李玲志</t>
  </si>
  <si>
    <t>体校及体育培训</t>
  </si>
  <si>
    <t>内蒙古正斗信息科技有限公司</t>
  </si>
  <si>
    <t>91150691MA0NLFPR3G</t>
  </si>
  <si>
    <t>徐志龙</t>
  </si>
  <si>
    <t>15326960709</t>
  </si>
  <si>
    <t>7501901220000000030417</t>
  </si>
  <si>
    <t>43</t>
  </si>
  <si>
    <t>47878.08</t>
  </si>
  <si>
    <t>28726.85</t>
  </si>
  <si>
    <t>鄂尔多斯市兴北环保科技有限公司</t>
  </si>
  <si>
    <t>91150691MA0Q01X46B</t>
  </si>
  <si>
    <t>贺永华</t>
  </si>
  <si>
    <t>13296963525</t>
  </si>
  <si>
    <t>1080.4</t>
  </si>
  <si>
    <t>648.24</t>
  </si>
  <si>
    <t>内蒙古黑金网络科技有限公司</t>
  </si>
  <si>
    <t>91150691318510553W</t>
  </si>
  <si>
    <t>郝二雄</t>
  </si>
  <si>
    <t>13789693196</t>
  </si>
  <si>
    <t>制造业</t>
  </si>
  <si>
    <t>鄂尔多斯市政泰驾驶员培训有限责任公司</t>
  </si>
  <si>
    <t>91150691096469398C</t>
  </si>
  <si>
    <t>苏志伟</t>
  </si>
  <si>
    <t>13947761976</t>
  </si>
  <si>
    <t>其他污染治理</t>
  </si>
  <si>
    <t>1406.76</t>
  </si>
  <si>
    <t>844.06</t>
  </si>
  <si>
    <t>鄂尔多斯市玖紫置业有限公司</t>
  </si>
  <si>
    <t>91150691MA0Q56MW6H</t>
  </si>
  <si>
    <t>布仁</t>
  </si>
  <si>
    <t>15047712299</t>
  </si>
  <si>
    <t>3854.96</t>
  </si>
  <si>
    <t>2312.98</t>
  </si>
  <si>
    <t>鄂尔多斯市政泰机动车安全技术检测有限责任公司</t>
  </si>
  <si>
    <t>91150691096469187W</t>
  </si>
  <si>
    <t>于明</t>
  </si>
  <si>
    <t>15147778585</t>
  </si>
  <si>
    <t>鄂尔多斯市博宇物业管理服务有限责任公司</t>
  </si>
  <si>
    <t>91150691552841588F</t>
  </si>
  <si>
    <t>雷志远</t>
  </si>
  <si>
    <t>15044766291</t>
  </si>
  <si>
    <t>公路管理与养护</t>
  </si>
  <si>
    <t>276</t>
  </si>
  <si>
    <t>133865.54</t>
  </si>
  <si>
    <t>80319.32</t>
  </si>
  <si>
    <t>鄂尔多斯市诚泽给排水工程管理有限公司</t>
  </si>
  <si>
    <t>91150691MA0Q6APL1R</t>
  </si>
  <si>
    <t>于斌</t>
  </si>
  <si>
    <t>0</t>
  </si>
  <si>
    <t>268.92</t>
  </si>
  <si>
    <t>161.35</t>
  </si>
  <si>
    <t>鄂尔多斯市优锐特商贸有限责任公司</t>
  </si>
  <si>
    <t>91150691MA0PT3EH4J</t>
  </si>
  <si>
    <t>李奋娥</t>
  </si>
  <si>
    <t>18247116740</t>
  </si>
  <si>
    <t>电力、热力生产和供应业</t>
  </si>
  <si>
    <t>39</t>
  </si>
  <si>
    <t>5088.84</t>
  </si>
  <si>
    <t>3053.3</t>
  </si>
  <si>
    <t>长沙玉诚环境景观工程有限公司康巴什分公司</t>
  </si>
  <si>
    <t>91150691MA0NDAFH07</t>
  </si>
  <si>
    <t>张丽</t>
  </si>
  <si>
    <t>13722173363</t>
  </si>
  <si>
    <t>物业管理</t>
  </si>
  <si>
    <t>2061.72</t>
  </si>
  <si>
    <t>1237.03</t>
  </si>
  <si>
    <t>内蒙古乾坤治业工程设计有限公司</t>
  </si>
  <si>
    <t>91150105072579269Q</t>
  </si>
  <si>
    <t>樊子军</t>
  </si>
  <si>
    <t>13947343483</t>
  </si>
  <si>
    <t>鄂尔多斯市雷克影视文化有限公司</t>
  </si>
  <si>
    <t>91150691MA0N00RJ5K</t>
  </si>
  <si>
    <t>孟克其其格</t>
  </si>
  <si>
    <t>13789475299</t>
  </si>
  <si>
    <t>环境保护监测</t>
  </si>
  <si>
    <t>313205000181</t>
  </si>
  <si>
    <t>8035.26</t>
  </si>
  <si>
    <t>4821.16</t>
  </si>
  <si>
    <t>鄂尔多斯市康正园林绿化有限公司</t>
  </si>
  <si>
    <t>91150691MA0NKW4N87</t>
  </si>
  <si>
    <t>贺树清</t>
  </si>
  <si>
    <t>18148331230</t>
  </si>
  <si>
    <t>2746.2</t>
  </si>
  <si>
    <t>1647.72</t>
  </si>
  <si>
    <t>鄂尔多斯市隆达市政工程有限公司</t>
  </si>
  <si>
    <t>91150691MA0NLND40B</t>
  </si>
  <si>
    <t>郝四女</t>
  </si>
  <si>
    <t>15648751113</t>
  </si>
  <si>
    <t>313.74</t>
  </si>
  <si>
    <t>188.24</t>
  </si>
  <si>
    <t>2024年未缴费，</t>
  </si>
  <si>
    <t>内蒙古隆达物流有限公司</t>
  </si>
  <si>
    <t>91150691MA0N7N1X5U</t>
  </si>
  <si>
    <t>赵万山</t>
  </si>
  <si>
    <t>13474890500</t>
  </si>
  <si>
    <t>其他人力资源服务</t>
  </si>
  <si>
    <t>鄂尔多斯市春阳医疗器械有限公司</t>
  </si>
  <si>
    <t>91150691MA0MYY1R2P</t>
  </si>
  <si>
    <t>陈国忠</t>
  </si>
  <si>
    <t>15184710885</t>
  </si>
  <si>
    <t>社会经济咨询</t>
  </si>
  <si>
    <t>313205000487</t>
  </si>
  <si>
    <t>2568.12</t>
  </si>
  <si>
    <t>1540.87</t>
  </si>
  <si>
    <t>内蒙古华予环保科技有限公司</t>
  </si>
  <si>
    <t>91150691MA0PRD977M</t>
  </si>
  <si>
    <t>李滨</t>
  </si>
  <si>
    <t>2062.86</t>
  </si>
  <si>
    <t>1237.72</t>
  </si>
  <si>
    <t>内蒙古天禾工程项目管理有限责任公司</t>
  </si>
  <si>
    <t>91150691MA0Q2CRY48</t>
  </si>
  <si>
    <t>马丽君</t>
  </si>
  <si>
    <t>15044779922</t>
  </si>
  <si>
    <t>661506407340700</t>
  </si>
  <si>
    <t>4661.28</t>
  </si>
  <si>
    <t>2796.77</t>
  </si>
  <si>
    <t>内蒙古盛世经典广告会展有限公司</t>
  </si>
  <si>
    <t>91150691MA0MXRW63L</t>
  </si>
  <si>
    <t>胡连根</t>
  </si>
  <si>
    <t>18247783460</t>
  </si>
  <si>
    <t>住宿业</t>
  </si>
  <si>
    <t>3944.16</t>
  </si>
  <si>
    <t>2366.5</t>
  </si>
  <si>
    <t>鄂尔多斯市吉正财务咨询服务有限公司</t>
  </si>
  <si>
    <t>91150691MA0NPMLY6G</t>
  </si>
  <si>
    <t>苗凯</t>
  </si>
  <si>
    <t>15949455623</t>
  </si>
  <si>
    <t>44.82</t>
  </si>
  <si>
    <t>26.89</t>
  </si>
  <si>
    <t>2021.9-2023.10停缴，11月缴了一个月后再无缴费，</t>
  </si>
  <si>
    <t>鄂尔多斯市远方文学艺术培训有限公司</t>
  </si>
  <si>
    <t>91150691MA0Q50CC26</t>
  </si>
  <si>
    <t>刘彩梅</t>
  </si>
  <si>
    <t>15704930394</t>
  </si>
  <si>
    <t>1389.42</t>
  </si>
  <si>
    <t>833.65</t>
  </si>
  <si>
    <t>鄂尔多斯市康巴什区志合体育培训有限公司</t>
  </si>
  <si>
    <t>91150691MA0PRDXF59</t>
  </si>
  <si>
    <t>冯超</t>
  </si>
  <si>
    <t>2439.42</t>
  </si>
  <si>
    <t>1463.65</t>
  </si>
  <si>
    <t>鄂尔多斯市政亿能源有限公司</t>
  </si>
  <si>
    <t>91150691MA0Q4H9J1B</t>
  </si>
  <si>
    <t>赵世民</t>
  </si>
  <si>
    <t>15335678819</t>
  </si>
  <si>
    <t>104100000004</t>
  </si>
  <si>
    <t>9581.24</t>
  </si>
  <si>
    <t>5748.74</t>
  </si>
  <si>
    <t>内蒙古泰维达建设有限公司</t>
  </si>
  <si>
    <t>91150691MA0NMH8641</t>
  </si>
  <si>
    <t>刘旺小</t>
  </si>
  <si>
    <t>13019576909</t>
  </si>
  <si>
    <t>其他组织管理服务</t>
  </si>
  <si>
    <t>6991.92</t>
  </si>
  <si>
    <t>4195.15</t>
  </si>
  <si>
    <t>鄂尔多斯市林烨劳务有限公司</t>
  </si>
  <si>
    <t>91150691MA0PQLXT6J</t>
  </si>
  <si>
    <t>刘永胜</t>
  </si>
  <si>
    <t>13614871820</t>
  </si>
  <si>
    <t>2517.16</t>
  </si>
  <si>
    <t>1510.3</t>
  </si>
  <si>
    <t>内蒙古盛伟生态环境工程有限公司</t>
  </si>
  <si>
    <t>91150691MA0Q5B657U</t>
  </si>
  <si>
    <t>常文博</t>
  </si>
  <si>
    <t>中盛精诚工程项目管理有限公司鄂尔多斯市分公司</t>
  </si>
  <si>
    <t>91150691MA0NPPNT66</t>
  </si>
  <si>
    <t>其他私有</t>
  </si>
  <si>
    <t>杨文光</t>
  </si>
  <si>
    <t>1792.8</t>
  </si>
  <si>
    <t>鄂尔多斯市明微科技有限公司</t>
  </si>
  <si>
    <t>91150691MA0N599C5A</t>
  </si>
  <si>
    <t>曹彦虎</t>
  </si>
  <si>
    <t>13948474623</t>
  </si>
  <si>
    <t>3854.52</t>
  </si>
  <si>
    <t>2312.71</t>
  </si>
  <si>
    <t>鄂尔多斯市政汇公路管理有限公司</t>
  </si>
  <si>
    <t>91150691MA0Q4UJQ8J</t>
  </si>
  <si>
    <t>李智慧</t>
  </si>
  <si>
    <t>15004772581</t>
  </si>
  <si>
    <t>313205000420</t>
  </si>
  <si>
    <t>5280.42</t>
  </si>
  <si>
    <t>3168.25</t>
  </si>
  <si>
    <t>鄂尔多斯市其柘劳务有限公司</t>
  </si>
  <si>
    <t>91150691MA0NACND8T</t>
  </si>
  <si>
    <t>柴霆霞</t>
  </si>
  <si>
    <t>15949498905</t>
  </si>
  <si>
    <t>其他未列明商务服务业</t>
  </si>
  <si>
    <t>102205000288</t>
  </si>
  <si>
    <t>3137.4</t>
  </si>
  <si>
    <t>鄂尔多斯市能乐吉电力工程有限责任公司</t>
  </si>
  <si>
    <t>9115069157326752X0</t>
  </si>
  <si>
    <t>李文婷</t>
  </si>
  <si>
    <t>13722081102</t>
  </si>
  <si>
    <t>313205000495</t>
  </si>
  <si>
    <t>2599.56</t>
  </si>
  <si>
    <t>1559.74</t>
  </si>
  <si>
    <t>鄂尔多斯市泰发祥物业管理服务有限责任公司康巴什区分公司</t>
  </si>
  <si>
    <t>91150691MA0MWGQQ3P</t>
  </si>
  <si>
    <t>呼伟</t>
  </si>
  <si>
    <t>15044778971</t>
  </si>
  <si>
    <t>建材批发</t>
  </si>
  <si>
    <t>9404.24</t>
  </si>
  <si>
    <t>5642.54</t>
  </si>
  <si>
    <t>鄂尔多斯市瑞通图文有限公司</t>
  </si>
  <si>
    <t>911506916994963368</t>
  </si>
  <si>
    <t>林志超</t>
  </si>
  <si>
    <t>15849712444</t>
  </si>
  <si>
    <t>其他测绘地理信息服务</t>
  </si>
  <si>
    <t>8475.34</t>
  </si>
  <si>
    <t>5085.2</t>
  </si>
  <si>
    <t>内蒙古希隆环保科技有限公司</t>
  </si>
  <si>
    <t>91150691MA0MY84N89</t>
  </si>
  <si>
    <t>刘轶佳</t>
  </si>
  <si>
    <t>17684710122</t>
  </si>
  <si>
    <t>内蒙古信中环保科技发展有限责任公司</t>
  </si>
  <si>
    <t>91150691065008337N</t>
  </si>
  <si>
    <t>赵永宾</t>
  </si>
  <si>
    <t>18847721876</t>
  </si>
  <si>
    <t>正餐服务</t>
  </si>
  <si>
    <t>2016.72</t>
  </si>
  <si>
    <t>1210.03</t>
  </si>
  <si>
    <t>鄂尔多斯市尚普新能源有限公司</t>
  </si>
  <si>
    <t>91150691MA0MXAYW27</t>
  </si>
  <si>
    <t>袁文平</t>
  </si>
  <si>
    <t>13904777994</t>
  </si>
  <si>
    <t>320205000102</t>
  </si>
  <si>
    <t>9253.2</t>
  </si>
  <si>
    <t>5551.92</t>
  </si>
  <si>
    <t>鄂尔多斯市万义宝劳务承包有限责任公司</t>
  </si>
  <si>
    <t>91150691MA0N4TP08R</t>
  </si>
  <si>
    <t>汪娇</t>
  </si>
  <si>
    <t>18647791234</t>
  </si>
  <si>
    <t>402205075030</t>
  </si>
  <si>
    <t>3412.48</t>
  </si>
  <si>
    <t>2047.49</t>
  </si>
  <si>
    <t>鄂尔多斯市众科矿山信息咨询有限公司</t>
  </si>
  <si>
    <t>91150691MA0Q0F095X</t>
  </si>
  <si>
    <t>姚鹏</t>
  </si>
  <si>
    <t>15134870193</t>
  </si>
  <si>
    <t>674</t>
  </si>
  <si>
    <t>354861.8</t>
  </si>
  <si>
    <t>212917.08</t>
  </si>
  <si>
    <t>鄂尔多斯市水清木华教育咨询有限公司</t>
  </si>
  <si>
    <t>91150691MA0MWTQJ1K</t>
  </si>
  <si>
    <t>石全换</t>
  </si>
  <si>
    <t>313205000077</t>
  </si>
  <si>
    <t>4516.68</t>
  </si>
  <si>
    <t>2710.01</t>
  </si>
  <si>
    <t>内蒙古胜辉建筑有限责任公司</t>
  </si>
  <si>
    <t>91150691MA0MYMKW1W</t>
  </si>
  <si>
    <t>白艳花</t>
  </si>
  <si>
    <t>15947721843</t>
  </si>
  <si>
    <t>其他居民服务业</t>
  </si>
  <si>
    <t>鄂尔多斯市凯鸿酒店管理有限责任公司</t>
  </si>
  <si>
    <t>91150691578862184C</t>
  </si>
  <si>
    <t>乔芬</t>
  </si>
  <si>
    <t>18504771210</t>
  </si>
  <si>
    <t>1972.08</t>
  </si>
  <si>
    <t>1183.25</t>
  </si>
  <si>
    <t>内蒙古金众旅游开发有限责任公司（注销23.12.6）</t>
  </si>
  <si>
    <t>91150691MA0Q2HM32K</t>
  </si>
  <si>
    <t>王春</t>
  </si>
  <si>
    <t>13354770640</t>
  </si>
  <si>
    <t>鄂尔多斯市金恒汇财税管理有限公司</t>
  </si>
  <si>
    <t>91150691MA0NMGPF35</t>
  </si>
  <si>
    <t xml:space="preserve">魏亚平 </t>
  </si>
  <si>
    <t>15335672566</t>
  </si>
  <si>
    <t>304205822781</t>
  </si>
  <si>
    <t>内蒙古恒昇医疗器械有限责任公司</t>
  </si>
  <si>
    <t>91150691MA0MY1P985</t>
  </si>
  <si>
    <t>刘瑞琴</t>
  </si>
  <si>
    <t>13948371234</t>
  </si>
  <si>
    <t>402205075345</t>
  </si>
  <si>
    <t>9955.58</t>
  </si>
  <si>
    <t>5973.35</t>
  </si>
  <si>
    <t>内蒙古伍佰速煤炭运销有限公司</t>
  </si>
  <si>
    <t>911506910539453316</t>
  </si>
  <si>
    <t>吕的晟</t>
  </si>
  <si>
    <t>18147778383</t>
  </si>
  <si>
    <t>生态保护和环境治理业</t>
  </si>
  <si>
    <t>16</t>
  </si>
  <si>
    <t>14505.06</t>
  </si>
  <si>
    <t>8703.04</t>
  </si>
  <si>
    <t>鄂尔多斯市恺特大酒店管理有限公司</t>
  </si>
  <si>
    <t>91150691MA0NBEHY2K</t>
  </si>
  <si>
    <t>吴根泉</t>
  </si>
  <si>
    <t>15949491199</t>
  </si>
  <si>
    <t>4392.36</t>
  </si>
  <si>
    <t>2635.42</t>
  </si>
  <si>
    <t>内蒙古庆恒源工程项目管理有限责任公司</t>
  </si>
  <si>
    <t>91150691MA0PRLNL20</t>
  </si>
  <si>
    <t>股份合作</t>
  </si>
  <si>
    <t>杨琼</t>
  </si>
  <si>
    <t>13847779330</t>
  </si>
  <si>
    <t>市政道路工程建筑</t>
  </si>
  <si>
    <t>104205000094</t>
  </si>
  <si>
    <t>3289.2</t>
  </si>
  <si>
    <t>1973.52</t>
  </si>
  <si>
    <t>内蒙古远方丝路企业形象顾问有限公司</t>
  </si>
  <si>
    <t>91150691MA0MYTBK5N</t>
  </si>
  <si>
    <t>郭默然</t>
  </si>
  <si>
    <t>15894940934</t>
  </si>
  <si>
    <t>102205008014</t>
  </si>
  <si>
    <t>12004.5</t>
  </si>
  <si>
    <t>7202.7</t>
  </si>
  <si>
    <t>内蒙古鑫阳律师事务所</t>
  </si>
  <si>
    <t>31150000585170186N</t>
  </si>
  <si>
    <t>胡建清</t>
  </si>
  <si>
    <t>179.28</t>
  </si>
  <si>
    <t>107.57</t>
  </si>
  <si>
    <t>2023年5月起未缴费</t>
  </si>
  <si>
    <t>内蒙古飞致创新科技有限公司</t>
  </si>
  <si>
    <t>91150691397350745H</t>
  </si>
  <si>
    <t>马波</t>
  </si>
  <si>
    <t>2151.36</t>
  </si>
  <si>
    <t>1290.82</t>
  </si>
  <si>
    <t>行号：105</t>
  </si>
  <si>
    <t>内蒙古领致科技有限公司</t>
  </si>
  <si>
    <t>9115069109976072X6</t>
  </si>
  <si>
    <t>杨占荣</t>
  </si>
  <si>
    <t>1927.26</t>
  </si>
  <si>
    <t>1156.36</t>
  </si>
  <si>
    <t>内蒙古佰善健康管理有限公司</t>
  </si>
  <si>
    <t>9115069109992128XD</t>
  </si>
  <si>
    <t>路小艳</t>
  </si>
  <si>
    <t>540.72</t>
  </si>
  <si>
    <t>324.43</t>
  </si>
  <si>
    <t>永明项目管理有限公司康巴什区分公司</t>
  </si>
  <si>
    <t>91150691341355731Q</t>
  </si>
  <si>
    <t>闫瑞</t>
  </si>
  <si>
    <t>15044918886</t>
  </si>
  <si>
    <t>2127.9</t>
  </si>
  <si>
    <t>1276.74</t>
  </si>
  <si>
    <t>鄂尔多斯市华资商业运营管理有限公司</t>
  </si>
  <si>
    <t>91150602573294579U</t>
  </si>
  <si>
    <t>许波</t>
  </si>
  <si>
    <t>13848776182</t>
  </si>
  <si>
    <t>770</t>
  </si>
  <si>
    <t>462</t>
  </si>
  <si>
    <t>2023年6月开始缴费，申请日期为5月16日</t>
  </si>
  <si>
    <t>鄂尔多斯市百荣测绘有限责任公司</t>
  </si>
  <si>
    <t>911506915888465327</t>
  </si>
  <si>
    <t>刘彦操</t>
  </si>
  <si>
    <t>18147887048</t>
  </si>
  <si>
    <t>309205804041</t>
  </si>
  <si>
    <t>26</t>
  </si>
  <si>
    <t>13490.82</t>
  </si>
  <si>
    <t>8094.49</t>
  </si>
  <si>
    <t>通过（已通知处理行政处罚）</t>
  </si>
  <si>
    <t>鄂尔多斯市优莱商业管理有限责任公司</t>
  </si>
  <si>
    <t>91150691MA0PWG2T8H</t>
  </si>
  <si>
    <t>薛瑞亮</t>
  </si>
  <si>
    <t>18700243327</t>
  </si>
  <si>
    <t>302205027587</t>
  </si>
  <si>
    <t>3059.2</t>
  </si>
  <si>
    <t>1835.52</t>
  </si>
  <si>
    <t>鄂尔多斯市姚老太餐饮有限公司</t>
  </si>
  <si>
    <t>91150691MA0PRG0Y96</t>
  </si>
  <si>
    <t>张平</t>
  </si>
  <si>
    <t>15548529990</t>
  </si>
  <si>
    <t>17323.92</t>
  </si>
  <si>
    <t>10394.35</t>
  </si>
  <si>
    <t>内蒙古宏泰建设有限公司</t>
  </si>
  <si>
    <t>91150691MA0NGLDR66</t>
  </si>
  <si>
    <t>赵志宏</t>
  </si>
  <si>
    <t>13722190080</t>
  </si>
  <si>
    <t>7036.74</t>
  </si>
  <si>
    <t>4222.04</t>
  </si>
  <si>
    <t>鄂尔多斯市新世家物业管理服务有限责任公司</t>
  </si>
  <si>
    <t>9115069168651673X6</t>
  </si>
  <si>
    <t>丛龙梅</t>
  </si>
  <si>
    <t>15750691007</t>
  </si>
  <si>
    <t>305205887034</t>
  </si>
  <si>
    <t>4885.38</t>
  </si>
  <si>
    <t>2931.23</t>
  </si>
  <si>
    <t>明喆集团股份有限公司康巴什分公司</t>
  </si>
  <si>
    <t>911506915528253265</t>
  </si>
  <si>
    <t>刘凤义</t>
  </si>
  <si>
    <t>18647757850</t>
  </si>
  <si>
    <t>其他土木工程建筑施工</t>
  </si>
  <si>
    <t>鄂尔多斯市拯榕职业培训学校</t>
  </si>
  <si>
    <t>52150600555453329N</t>
  </si>
  <si>
    <t>赵亮</t>
  </si>
  <si>
    <t>15147768023</t>
  </si>
  <si>
    <t>鄂尔多斯市康巴什新区蓝鳌档案事务所（特殊普通合伙）</t>
  </si>
  <si>
    <t>91150691061623893Y</t>
  </si>
  <si>
    <t>朱鹏</t>
  </si>
  <si>
    <t>18204903935</t>
  </si>
  <si>
    <t>36</t>
  </si>
  <si>
    <t>28955</t>
  </si>
  <si>
    <t>17373</t>
  </si>
  <si>
    <t>内蒙古坤大土地勘测规划技术有限公司</t>
  </si>
  <si>
    <t>91150691MA0PQXM95H</t>
  </si>
  <si>
    <t>魏建雄</t>
  </si>
  <si>
    <t>15047364333</t>
  </si>
  <si>
    <t>鄂尔多斯市易翊财税咨询有限公司</t>
  </si>
  <si>
    <t>91150691MA0NGB072C</t>
  </si>
  <si>
    <t>贺凯飞</t>
  </si>
  <si>
    <t>13134859847</t>
  </si>
  <si>
    <t>793.4</t>
  </si>
  <si>
    <t>476.04</t>
  </si>
  <si>
    <t>内蒙古康盛环保科技有限责任公司</t>
  </si>
  <si>
    <t>91150691MA0MYW8781</t>
  </si>
  <si>
    <t>王英英</t>
  </si>
  <si>
    <t>18147764001</t>
  </si>
  <si>
    <t>鄂尔多斯市东康机动车检测有限责任公司</t>
  </si>
  <si>
    <t>91150691396225555B</t>
  </si>
  <si>
    <t>王启全</t>
  </si>
  <si>
    <t>18047719358</t>
  </si>
  <si>
    <t>402205840311</t>
  </si>
  <si>
    <t>13404.74</t>
  </si>
  <si>
    <t>8042.84</t>
  </si>
  <si>
    <t>内蒙古百汇矿业工程有限责任公司（已注销）</t>
  </si>
  <si>
    <t>91150691MA0MYQMB3J</t>
  </si>
  <si>
    <t>杨连军</t>
  </si>
  <si>
    <t>鄂尔多斯市环境监测检验有限公司</t>
  </si>
  <si>
    <t>91150691MA0PYT0F7F</t>
  </si>
  <si>
    <t>魏永杰</t>
  </si>
  <si>
    <t>3941</t>
  </si>
  <si>
    <t>2364.6</t>
  </si>
  <si>
    <t>鄂尔多斯市众优展厅展示装饰有限公司</t>
  </si>
  <si>
    <t>91150691MA0PXRJY2N</t>
  </si>
  <si>
    <t>高瑞芳</t>
  </si>
  <si>
    <t>居民服务业</t>
  </si>
  <si>
    <t>1837.62</t>
  </si>
  <si>
    <t>1102.57</t>
  </si>
  <si>
    <t>内蒙古金泽恒业建设工程有限公司</t>
  </si>
  <si>
    <t>91150691MA0PTBL79K</t>
  </si>
  <si>
    <t>巴图毕力格</t>
  </si>
  <si>
    <t>13904773587</t>
  </si>
  <si>
    <t>其他未列明服务业</t>
  </si>
  <si>
    <t>1344.6</t>
  </si>
  <si>
    <t>806.76</t>
  </si>
  <si>
    <t>鄂尔多斯市奥麒第二口腔医院部（有限合伙）</t>
  </si>
  <si>
    <t>91150691MA0R6NGT61</t>
  </si>
  <si>
    <t>宋凤超</t>
  </si>
  <si>
    <t>672.12</t>
  </si>
  <si>
    <t>403.27</t>
  </si>
  <si>
    <t>2022年5月-2023年2月未缴费</t>
  </si>
  <si>
    <t>鄂尔多斯市广晟混凝土有限责任公司</t>
  </si>
  <si>
    <t>91150691683430658G</t>
  </si>
  <si>
    <t>牛小刚</t>
  </si>
  <si>
    <t>1479.06</t>
  </si>
  <si>
    <t>887.44</t>
  </si>
  <si>
    <t>内蒙古家睿商贸有限责任公司</t>
  </si>
  <si>
    <t>91150691MA0NMN4J1H</t>
  </si>
  <si>
    <t>杨勋</t>
  </si>
  <si>
    <t>水泥制品制造</t>
  </si>
  <si>
    <t>38</t>
  </si>
  <si>
    <t>24754.94</t>
  </si>
  <si>
    <t>14852.96</t>
  </si>
  <si>
    <t>鄂尔多斯市林众商贸有限责任公司</t>
  </si>
  <si>
    <t>91150691MA0MX2LM6R</t>
  </si>
  <si>
    <t>周涛</t>
  </si>
  <si>
    <t>15849799176</t>
  </si>
  <si>
    <t>104205003054</t>
  </si>
  <si>
    <t>9020.84</t>
  </si>
  <si>
    <t>5412.5</t>
  </si>
  <si>
    <t>内蒙古宏泰顺达劳务派遣有限公司康巴什区分公司（注销20240806）</t>
  </si>
  <si>
    <t>91150691MA0Q04W99R</t>
  </si>
  <si>
    <t>陈丽霞</t>
  </si>
  <si>
    <t>15047752169</t>
  </si>
  <si>
    <t>6092.18</t>
  </si>
  <si>
    <t>3655.31</t>
  </si>
  <si>
    <t>鄂尔多斯市华兆工程机械有限公司</t>
  </si>
  <si>
    <t>91150691588836182X</t>
  </si>
  <si>
    <t>王丽</t>
  </si>
  <si>
    <t>18647738824</t>
  </si>
  <si>
    <t>9541.94</t>
  </si>
  <si>
    <t>5725.16</t>
  </si>
  <si>
    <t>鄂尔多斯市未来视界广告文化传媒有限公司</t>
  </si>
  <si>
    <t>91150691089575870U</t>
  </si>
  <si>
    <t>闫龙</t>
  </si>
  <si>
    <t>13310326696</t>
  </si>
  <si>
    <t>8349.34</t>
  </si>
  <si>
    <t>5009.6</t>
  </si>
  <si>
    <t>内蒙古鄂尔多斯市瑞娅国际大酒店有限公司</t>
  </si>
  <si>
    <t>911506915888480606</t>
  </si>
  <si>
    <t>张智平</t>
  </si>
  <si>
    <t>15049426206</t>
  </si>
  <si>
    <t>其他机织服装制造</t>
  </si>
  <si>
    <t>1138</t>
  </si>
  <si>
    <t>682.8</t>
  </si>
  <si>
    <t>内蒙古通泰劳务有限公司</t>
  </si>
  <si>
    <t>91150691MA0MW6UD5B</t>
  </si>
  <si>
    <t>李钢</t>
  </si>
  <si>
    <t>林业</t>
  </si>
  <si>
    <t>300</t>
  </si>
  <si>
    <t>180</t>
  </si>
  <si>
    <t>2023.6后无缴费</t>
  </si>
  <si>
    <t>鄂尔多斯市览世酒店管理有限公司</t>
  </si>
  <si>
    <t>91150691MA0NN4W59T</t>
  </si>
  <si>
    <t>李白</t>
  </si>
  <si>
    <t>866.24</t>
  </si>
  <si>
    <t>519.74</t>
  </si>
  <si>
    <t>2022年9月-2023年8月未缴费</t>
  </si>
  <si>
    <t>内蒙古中瑞信息咨询服务有限公司</t>
  </si>
  <si>
    <t>91150691MA0N4HB57N</t>
  </si>
  <si>
    <t>闫瑾</t>
  </si>
  <si>
    <t>2330.64</t>
  </si>
  <si>
    <t>1398.38</t>
  </si>
  <si>
    <t>鄂尔多斯市泽惠物业管理有限公司</t>
  </si>
  <si>
    <t>91150691MA0PWAT73B</t>
  </si>
  <si>
    <t>杨继泉</t>
  </si>
  <si>
    <t>15047367240</t>
  </si>
  <si>
    <t>103205036319</t>
  </si>
  <si>
    <t>鄂尔多斯市康巴什区维远培训学校有限公司</t>
  </si>
  <si>
    <t>91150600MA0MYX6J68</t>
  </si>
  <si>
    <t>刘俊杰</t>
  </si>
  <si>
    <t>15947636517</t>
  </si>
  <si>
    <t>其他公路客运</t>
  </si>
  <si>
    <t>2696.4</t>
  </si>
  <si>
    <t>1617.84</t>
  </si>
  <si>
    <t>内蒙古兴志典科技有限公司</t>
  </si>
  <si>
    <t>91150691MA13UDK910</t>
  </si>
  <si>
    <t>张英杰</t>
  </si>
  <si>
    <t>18604773817</t>
  </si>
  <si>
    <t>18</t>
  </si>
  <si>
    <t>20453.4</t>
  </si>
  <si>
    <t>12272.04</t>
  </si>
  <si>
    <t>鄂尔多斯市云信互联网科技有限公司（注销）2024年3月20日</t>
  </si>
  <si>
    <t>911506913289310000</t>
  </si>
  <si>
    <t>杨石锁</t>
  </si>
  <si>
    <t>313205000542</t>
  </si>
  <si>
    <t>3600</t>
  </si>
  <si>
    <t>2160</t>
  </si>
  <si>
    <t>鄂尔多斯市中泰商贸有限责任公司</t>
  </si>
  <si>
    <t>91150691MA0N7CY210</t>
  </si>
  <si>
    <t>赵明星</t>
  </si>
  <si>
    <t>15804736512</t>
  </si>
  <si>
    <t>1077.84</t>
  </si>
  <si>
    <t>646.7</t>
  </si>
  <si>
    <t>鄂尔多斯市汇创文化传媒有限公司</t>
  </si>
  <si>
    <t>91150691MA0MYX6HX8</t>
  </si>
  <si>
    <t>张磊</t>
  </si>
  <si>
    <t>鄂尔多斯市云泰互联科技有限公司-康巴什</t>
  </si>
  <si>
    <t>91150602575692247R</t>
  </si>
  <si>
    <t>郝广峰</t>
  </si>
  <si>
    <t>15248424879</t>
  </si>
  <si>
    <t>其他软件开发</t>
  </si>
  <si>
    <t>8029.76</t>
  </si>
  <si>
    <t>4817.86</t>
  </si>
  <si>
    <t>鄂尔多斯市宏力达物业服务有限责任公司</t>
  </si>
  <si>
    <t>9115069169289450X8</t>
  </si>
  <si>
    <t>王璐</t>
  </si>
  <si>
    <t>北京中企安信环境科技有限公司鄂尔多斯市分公司</t>
  </si>
  <si>
    <t>91150691MA0PWH625D</t>
  </si>
  <si>
    <t>李丽</t>
  </si>
  <si>
    <t>娱乐业</t>
  </si>
  <si>
    <t>驹行软件科技有限公司</t>
  </si>
  <si>
    <t>91150602MA0PU0MH29</t>
  </si>
  <si>
    <t>400</t>
  </si>
  <si>
    <t>240</t>
  </si>
  <si>
    <t>2023年9月起未缴费</t>
  </si>
  <si>
    <t>鄂尔多斯市康巴什区紫荆昌盛工程咨询服务有限公司</t>
  </si>
  <si>
    <t>911506910616381630</t>
  </si>
  <si>
    <t>吕海瑞</t>
  </si>
  <si>
    <t>15648749335</t>
  </si>
  <si>
    <t>投资与资产管理</t>
  </si>
  <si>
    <t>41</t>
  </si>
  <si>
    <t>31116.76</t>
  </si>
  <si>
    <t>18670.06</t>
  </si>
  <si>
    <t>鄂尔多斯市连军建筑装饰工程有限责任公司</t>
  </si>
  <si>
    <t>91150691MA0N037B0C</t>
  </si>
  <si>
    <t>张岩</t>
  </si>
  <si>
    <t>15147514747</t>
  </si>
  <si>
    <t>J2050004276602</t>
  </si>
  <si>
    <t>17789.98</t>
  </si>
  <si>
    <t>10673.99</t>
  </si>
  <si>
    <t>内蒙古乾义建筑工程有限责任公司</t>
  </si>
  <si>
    <t>91150622MA0MY2U682</t>
  </si>
  <si>
    <t>许小军</t>
  </si>
  <si>
    <t>15389837333</t>
  </si>
  <si>
    <t>4093.4</t>
  </si>
  <si>
    <t>2456.04</t>
  </si>
  <si>
    <t>鄂尔多斯市书香源托育有限公司</t>
  </si>
  <si>
    <t>91150691MA0Q0N1L15</t>
  </si>
  <si>
    <t>存在差额欠费</t>
  </si>
  <si>
    <t>鄂尔多斯市康巴什区汇文档案事务所（普通合伙）</t>
  </si>
  <si>
    <t>9115069107837669X6</t>
  </si>
  <si>
    <t>高枫</t>
  </si>
  <si>
    <t>15247750696</t>
  </si>
  <si>
    <t>百货零售</t>
  </si>
  <si>
    <t>304</t>
  </si>
  <si>
    <t>25</t>
  </si>
  <si>
    <t>16514.14</t>
  </si>
  <si>
    <t>9908.48</t>
  </si>
  <si>
    <t>鄂尔多斯市龙腾捷通科技有限公司</t>
  </si>
  <si>
    <t>91150691578863531U</t>
  </si>
  <si>
    <t>赵耀龙</t>
  </si>
  <si>
    <t>18904773550</t>
  </si>
  <si>
    <t>105</t>
  </si>
  <si>
    <t>4437.18</t>
  </si>
  <si>
    <t>2662.31</t>
  </si>
  <si>
    <t>鄂尔多斯市陕蒙康城园林绿化有限公司</t>
  </si>
  <si>
    <t>91150691MA0NN5NR45</t>
  </si>
  <si>
    <t>李军</t>
  </si>
  <si>
    <t>18067639876</t>
  </si>
  <si>
    <t>电影放映</t>
  </si>
  <si>
    <t>103</t>
  </si>
  <si>
    <t>鄂尔多斯市天皓水泥有限公司</t>
  </si>
  <si>
    <t>911506917014272697</t>
  </si>
  <si>
    <t>张晓宇</t>
  </si>
  <si>
    <t>17304774788</t>
  </si>
  <si>
    <t>5064.66</t>
  </si>
  <si>
    <t>3038.8</t>
  </si>
  <si>
    <t>鄂尔多斯市爱之蒙酒店管理有限公司</t>
  </si>
  <si>
    <t>91150691MA0NRULF3J</t>
  </si>
  <si>
    <t>王宏</t>
  </si>
  <si>
    <t>15344009996</t>
  </si>
  <si>
    <t>181</t>
  </si>
  <si>
    <t>86406.58</t>
  </si>
  <si>
    <t>51843.95</t>
  </si>
  <si>
    <t>鄂尔多斯市爱之蒙旅行社有限公司</t>
  </si>
  <si>
    <t>91150691MA0PQCHW4G</t>
  </si>
  <si>
    <t>杭红伟</t>
  </si>
  <si>
    <t>15048786234</t>
  </si>
  <si>
    <t>320</t>
  </si>
  <si>
    <t>1675.68</t>
  </si>
  <si>
    <t>1005.41</t>
  </si>
  <si>
    <t>鄂尔多斯市爱之蒙文化产业发展有限公司</t>
  </si>
  <si>
    <t>91150691MA0PWDW46J</t>
  </si>
  <si>
    <t>傲剑峰</t>
  </si>
  <si>
    <t>15049427775</t>
  </si>
  <si>
    <t>102</t>
  </si>
  <si>
    <t>内蒙古万联汇智科技有限公司</t>
  </si>
  <si>
    <t>91150691MA0PXD0054</t>
  </si>
  <si>
    <t>越利平</t>
  </si>
  <si>
    <t>696</t>
  </si>
  <si>
    <t>417.6</t>
  </si>
  <si>
    <t>内蒙古泓宇工贸有限公司</t>
  </si>
  <si>
    <t>91150602MA0NRP0U96</t>
  </si>
  <si>
    <t>曹正霞</t>
  </si>
  <si>
    <t>18747738295</t>
  </si>
  <si>
    <t>313</t>
  </si>
  <si>
    <t>内蒙古鑫晨商贸有限公司（已注销）</t>
  </si>
  <si>
    <t>91150691MA0N5JU67H</t>
  </si>
  <si>
    <t>边丽霞</t>
  </si>
  <si>
    <t>2019年存在差额欠费</t>
  </si>
  <si>
    <t>鄂尔多斯市协同招商科技创新有限公司</t>
  </si>
  <si>
    <t>91150691MA0PQCHTXU</t>
  </si>
  <si>
    <t>刘志忠</t>
  </si>
  <si>
    <t>314</t>
  </si>
  <si>
    <t>鄂尔多斯市康巴什新区博雅文化艺术发展有限公司</t>
  </si>
  <si>
    <t>91150691097242726L</t>
  </si>
  <si>
    <t>徐俊</t>
  </si>
  <si>
    <t>484.06</t>
  </si>
  <si>
    <t>内蒙古东凯运输科技有限公司</t>
  </si>
  <si>
    <t>91150691MA0NMCFH53</t>
  </si>
  <si>
    <t>梁彩虹</t>
  </si>
  <si>
    <t>18847701814</t>
  </si>
  <si>
    <t>21</t>
  </si>
  <si>
    <t>16896.22</t>
  </si>
  <si>
    <t>10137.73</t>
  </si>
  <si>
    <t>鄂尔多斯市天照旅游汽车运输有限责任公司</t>
  </si>
  <si>
    <t>91150691MA0PQKJ4XD</t>
  </si>
  <si>
    <t>米海霞</t>
  </si>
  <si>
    <t>1227.84</t>
  </si>
  <si>
    <t>736.7</t>
  </si>
  <si>
    <t>内蒙古中诚信信用管理有限公司</t>
  </si>
  <si>
    <t>91150691MA0PTUBBX6</t>
  </si>
  <si>
    <t>闫玉超</t>
  </si>
  <si>
    <t>18548712936</t>
  </si>
  <si>
    <t>其他未列明建筑业</t>
  </si>
  <si>
    <t>9613.72</t>
  </si>
  <si>
    <t>5768.23</t>
  </si>
  <si>
    <t>鄂尔多斯市乾胜汽车维修服务有限责任公司</t>
  </si>
  <si>
    <t>91150691318481561J</t>
  </si>
  <si>
    <t>任新礼</t>
  </si>
  <si>
    <t>15149514898</t>
  </si>
  <si>
    <t>8745.8</t>
  </si>
  <si>
    <t>5247.48</t>
  </si>
  <si>
    <t>鄂尔多斯市康巴什新区晶鑫广告传媒有限责任公司</t>
  </si>
  <si>
    <t>911506910616394814</t>
  </si>
  <si>
    <t>张回珍</t>
  </si>
  <si>
    <t>18947086111</t>
  </si>
  <si>
    <t>绿化管理</t>
  </si>
  <si>
    <t>38180.82</t>
  </si>
  <si>
    <t>22908.49</t>
  </si>
  <si>
    <t>内蒙古朗易电子科技有限公司</t>
  </si>
  <si>
    <t>911506913995884743</t>
  </si>
  <si>
    <t>杨海英</t>
  </si>
  <si>
    <t>15049448690</t>
  </si>
  <si>
    <t>309</t>
  </si>
  <si>
    <t>6263.12</t>
  </si>
  <si>
    <t>3757.87</t>
  </si>
  <si>
    <t>内蒙古准泰科技有限公司</t>
  </si>
  <si>
    <t>91150600097034708G</t>
  </si>
  <si>
    <t>高陆飞</t>
  </si>
  <si>
    <t>7977.96</t>
  </si>
  <si>
    <t>4786.78</t>
  </si>
  <si>
    <t>鄂尔多斯市万宏商贸有限责任公司</t>
  </si>
  <si>
    <t>91150691570641862E</t>
  </si>
  <si>
    <t>王海燕</t>
  </si>
  <si>
    <t>群众团体、社会团体和其他成员组织</t>
  </si>
  <si>
    <t>540</t>
  </si>
  <si>
    <t>324</t>
  </si>
  <si>
    <t>2024存在差额欠费</t>
  </si>
  <si>
    <t>鄂尔多斯市水族汇娱乐有限公司</t>
  </si>
  <si>
    <t>91150691MA0N03DN7F</t>
  </si>
  <si>
    <t>白莉</t>
  </si>
  <si>
    <t>社会工作</t>
  </si>
  <si>
    <t>内蒙古兆阳招标代理有限公司</t>
  </si>
  <si>
    <t>91150691MA0PUG6L77</t>
  </si>
  <si>
    <t>余全喜</t>
  </si>
  <si>
    <t>工程设计活动</t>
  </si>
  <si>
    <t>3630.42</t>
  </si>
  <si>
    <t>2178.25</t>
  </si>
  <si>
    <t>内蒙古高新科技控股有限责任公司</t>
  </si>
  <si>
    <t>91150691MA0NA8W59T</t>
  </si>
  <si>
    <t>全小国</t>
  </si>
  <si>
    <t>104</t>
  </si>
  <si>
    <t>2928.36</t>
  </si>
  <si>
    <t>1757.02</t>
  </si>
  <si>
    <t>内蒙古悦生活物业服务有限公司</t>
  </si>
  <si>
    <t>91150691MA0NNXPH1N</t>
  </si>
  <si>
    <t>贾俊梅</t>
  </si>
  <si>
    <t>302</t>
  </si>
  <si>
    <t>1838.52</t>
  </si>
  <si>
    <t>1103.11</t>
  </si>
  <si>
    <t>鄂尔多斯市衡泰工程项目管理有限责任公司</t>
  </si>
  <si>
    <t>91150691MA0PT25B55</t>
  </si>
  <si>
    <t>王瑞</t>
  </si>
  <si>
    <t>13948573160</t>
  </si>
  <si>
    <t>45</t>
  </si>
  <si>
    <t>38150.68</t>
  </si>
  <si>
    <t>22890.41</t>
  </si>
  <si>
    <t>鄂尔多斯市启蒙教育科技有限公司</t>
  </si>
  <si>
    <t>91150691MA0NLYP39Q</t>
  </si>
  <si>
    <t>王海龙</t>
  </si>
  <si>
    <t>15248460053</t>
  </si>
  <si>
    <t>2615.64</t>
  </si>
  <si>
    <t>1569.38</t>
  </si>
  <si>
    <t>内蒙古德荣实业有限公司</t>
  </si>
  <si>
    <t>911506915669416354</t>
  </si>
  <si>
    <t>范其敬</t>
  </si>
  <si>
    <t>18953632127</t>
  </si>
  <si>
    <t>环境卫生管理</t>
  </si>
  <si>
    <t>鄂尔多斯市翰龙建设工程有限责任公司</t>
  </si>
  <si>
    <t>91150691MA0NBUTP93</t>
  </si>
  <si>
    <t>石艳芬</t>
  </si>
  <si>
    <t>13947716432</t>
  </si>
  <si>
    <t>电力、热力、燃气及水生产和供应业</t>
  </si>
  <si>
    <t>横店影视股份有限公司康巴什区分公司</t>
  </si>
  <si>
    <t>91150691MA0N5GA29L</t>
  </si>
  <si>
    <t>贺数清</t>
  </si>
  <si>
    <t>18548589610</t>
  </si>
  <si>
    <t>15370</t>
  </si>
  <si>
    <t>9222</t>
  </si>
  <si>
    <t>内蒙古家睿科技有限责任公司</t>
  </si>
  <si>
    <t>91150691341335474M</t>
  </si>
  <si>
    <t>吕炜</t>
  </si>
  <si>
    <t>15750645553</t>
  </si>
  <si>
    <t>310205012222</t>
  </si>
  <si>
    <t>82</t>
  </si>
  <si>
    <t>55547.04</t>
  </si>
  <si>
    <t>33328.22</t>
  </si>
  <si>
    <t>无问题</t>
  </si>
  <si>
    <t>鄂尔多斯市交通投资有限公司多种经营分公司</t>
  </si>
  <si>
    <t>91150627MA0MYWCB60</t>
  </si>
  <si>
    <t>白军</t>
  </si>
  <si>
    <t>15344004618</t>
  </si>
  <si>
    <t>照相器材零售</t>
  </si>
  <si>
    <t>13718.9</t>
  </si>
  <si>
    <t>8231.34</t>
  </si>
  <si>
    <t>鄂尔多斯市领航劳务服务有限公司</t>
  </si>
  <si>
    <t>91150691MA0PQRBX5G</t>
  </si>
  <si>
    <t>程炎兵</t>
  </si>
  <si>
    <t>15149794288</t>
  </si>
  <si>
    <t>2021年多缴纳</t>
  </si>
  <si>
    <t>鄂尔多斯市亿辰劳务服务有限公司</t>
  </si>
  <si>
    <t>91150691MA0ND1QT4Y</t>
  </si>
  <si>
    <t>李泊材</t>
  </si>
  <si>
    <t>13314771894</t>
  </si>
  <si>
    <t>专业设计服务</t>
  </si>
  <si>
    <t>305</t>
  </si>
  <si>
    <t>14028.66</t>
  </si>
  <si>
    <t>8417.2</t>
  </si>
  <si>
    <t>鄂尔多斯市宝鑫劳务承包有限责任公司</t>
  </si>
  <si>
    <t>91150691MA0MXGM00C</t>
  </si>
  <si>
    <t>15149416777</t>
  </si>
  <si>
    <t>1022 0500 8160</t>
  </si>
  <si>
    <t>1807.84</t>
  </si>
  <si>
    <t>1084.7</t>
  </si>
  <si>
    <t>鄂尔多斯市正伟劳务有限责任公司</t>
  </si>
  <si>
    <t>91150691MA0NCJ515F</t>
  </si>
  <si>
    <t>格根塔娜</t>
  </si>
  <si>
    <t>15389850917</t>
  </si>
  <si>
    <t>7727.54</t>
  </si>
  <si>
    <t>4636.52</t>
  </si>
  <si>
    <t>鄂尔多斯市利恒劳务有限公司</t>
  </si>
  <si>
    <t>91150691MA0NACRR88</t>
  </si>
  <si>
    <t>武龙</t>
  </si>
  <si>
    <t>旅行社及相关服务</t>
  </si>
  <si>
    <t>1735.68</t>
  </si>
  <si>
    <t>1041.41</t>
  </si>
  <si>
    <t>鄂尔多斯市绿沃绿化工程有限责任公司</t>
  </si>
  <si>
    <t>91150691MA0PQQT23C</t>
  </si>
  <si>
    <t>李光华</t>
  </si>
  <si>
    <t>15847317710</t>
  </si>
  <si>
    <t>计算机、通信和其他电子设备制造业</t>
  </si>
  <si>
    <t>鄂尔多斯市杰冉劳务有限公司</t>
  </si>
  <si>
    <t>91150691MA0N9P2917</t>
  </si>
  <si>
    <t>李全新</t>
  </si>
  <si>
    <t>50165.54</t>
  </si>
  <si>
    <t>30099.32</t>
  </si>
  <si>
    <t>鄂尔多斯市恒苑园林绿化工程有限公司</t>
  </si>
  <si>
    <t>91150691MA0NLKT52N</t>
  </si>
  <si>
    <t>王治元</t>
  </si>
  <si>
    <t>13847702453</t>
  </si>
  <si>
    <t>鄂尔多斯市锦秀源园林绿化工程有限公司</t>
  </si>
  <si>
    <t>91150691MA0NLKQW49</t>
  </si>
  <si>
    <t>任伟</t>
  </si>
  <si>
    <t>鄂尔多斯市昊博商贸有限公司</t>
  </si>
  <si>
    <t>91150691MA0MYTTD2C</t>
  </si>
  <si>
    <t>付云飞</t>
  </si>
  <si>
    <t>18147770036</t>
  </si>
  <si>
    <t>文化、办公用机械制造</t>
  </si>
  <si>
    <t>2371.5</t>
  </si>
  <si>
    <t>1422.9</t>
  </si>
  <si>
    <t>鄂尔多斯市宏源劳务承包有限公司</t>
  </si>
  <si>
    <t>91150691MA0MXF470U</t>
  </si>
  <si>
    <t>马千里</t>
  </si>
  <si>
    <t>19904770298</t>
  </si>
  <si>
    <t>301</t>
  </si>
  <si>
    <t>1300</t>
  </si>
  <si>
    <t>780</t>
  </si>
  <si>
    <t>内蒙古弘诚会计师事务所（普通合伙）</t>
  </si>
  <si>
    <t>91150627591991757A</t>
  </si>
  <si>
    <t>杨金宇</t>
  </si>
  <si>
    <t>15334771616</t>
  </si>
  <si>
    <t>2375.46</t>
  </si>
  <si>
    <t>1425.28</t>
  </si>
  <si>
    <t>鄂尔多斯市海霖园林绿化有限公司</t>
  </si>
  <si>
    <t>91150691MA0N4BNP0N</t>
  </si>
  <si>
    <t>张培旗</t>
  </si>
  <si>
    <t>环境治理业</t>
  </si>
  <si>
    <t>1738.16</t>
  </si>
  <si>
    <t>1042.9</t>
  </si>
  <si>
    <t>内蒙古蒙联消防工程有限公司</t>
  </si>
  <si>
    <t>91150691MA0N0LXC3E</t>
  </si>
  <si>
    <t>姜璐</t>
  </si>
  <si>
    <t>鄂尔多斯市沣美商业管理有限公司</t>
  </si>
  <si>
    <t>91150691MA0N6D1C02</t>
  </si>
  <si>
    <t>孙慧峰</t>
  </si>
  <si>
    <t>15804805511</t>
  </si>
  <si>
    <t>3276.74</t>
  </si>
  <si>
    <t>1966.04</t>
  </si>
  <si>
    <t>内蒙古康巴什园林绿化景观工程有限公司</t>
  </si>
  <si>
    <t>91150691MA0MY3561L</t>
  </si>
  <si>
    <t>15904779963</t>
  </si>
  <si>
    <t>34</t>
  </si>
  <si>
    <t>8181.42</t>
  </si>
  <si>
    <t>4908.85</t>
  </si>
  <si>
    <t>北京同仁堂鄂尔多斯市药店有限公司</t>
  </si>
  <si>
    <t>91150691MA0MX0AM00</t>
  </si>
  <si>
    <t>王利军</t>
  </si>
  <si>
    <t>15149509700</t>
  </si>
  <si>
    <t>23</t>
  </si>
  <si>
    <t>8381.34</t>
  </si>
  <si>
    <t>5028.8</t>
  </si>
  <si>
    <t>内蒙古廣函源网络科技有限公司</t>
  </si>
  <si>
    <t>91150691MA0N0HRM6L</t>
  </si>
  <si>
    <t>补乐</t>
  </si>
  <si>
    <t>15894958858</t>
  </si>
  <si>
    <t>6437.28</t>
  </si>
  <si>
    <t>3862.37</t>
  </si>
  <si>
    <t>内蒙古盛睿建设有限责任公司</t>
  </si>
  <si>
    <t>91150691MA0NM8WT0R</t>
  </si>
  <si>
    <t>郝健邦</t>
  </si>
  <si>
    <t>15704999257</t>
  </si>
  <si>
    <t>7804501220000000000340</t>
  </si>
  <si>
    <t>54319.04</t>
  </si>
  <si>
    <t>32591.42</t>
  </si>
  <si>
    <t>内蒙古汇邦控股有限公司</t>
  </si>
  <si>
    <t>91150602341320117Y</t>
  </si>
  <si>
    <t>刘宝</t>
  </si>
  <si>
    <t>15335530091</t>
  </si>
  <si>
    <t>市政设施管理</t>
  </si>
  <si>
    <t>7360.14</t>
  </si>
  <si>
    <t>4416.08</t>
  </si>
  <si>
    <t>鄂尔多斯市康巴什区康城社会工作服务中心</t>
  </si>
  <si>
    <t>52150600336445521B</t>
  </si>
  <si>
    <t>张龙飞</t>
  </si>
  <si>
    <t>鄂尔多斯市康巴什新区园丁社会工作服务中心</t>
  </si>
  <si>
    <t>52150600336420869M</t>
  </si>
  <si>
    <t>刘文学</t>
  </si>
  <si>
    <t>康巴什新区神华康城社会工作服务中心</t>
  </si>
  <si>
    <t>521506003364213944</t>
  </si>
  <si>
    <t>温学琴</t>
  </si>
  <si>
    <t>15704943337</t>
  </si>
  <si>
    <t>313205000288</t>
  </si>
  <si>
    <t>鄂尔多斯市天冠广告有限公司</t>
  </si>
  <si>
    <t>911506915554818724</t>
  </si>
  <si>
    <t>鄂尔多斯市腾达勘察设计有限公司</t>
  </si>
  <si>
    <t>91150691MA0N7D431L</t>
  </si>
  <si>
    <t>杨玉兰</t>
  </si>
  <si>
    <t>15149730777</t>
  </si>
  <si>
    <t>3156.9</t>
  </si>
  <si>
    <t>1894.14</t>
  </si>
  <si>
    <t>内蒙古民族文化产业研究院</t>
  </si>
  <si>
    <t>52150000MJY037664U</t>
  </si>
  <si>
    <t>杨建军</t>
  </si>
  <si>
    <t>18738506216</t>
  </si>
  <si>
    <t>143</t>
  </si>
  <si>
    <t>56293.92</t>
  </si>
  <si>
    <t>33776.35</t>
  </si>
  <si>
    <t>鄂尔多斯市恒创文化有限公司</t>
  </si>
  <si>
    <t>91150691MA0MYD4W5A</t>
  </si>
  <si>
    <t>王科</t>
  </si>
  <si>
    <t>15047356660</t>
  </si>
  <si>
    <t>66</t>
  </si>
  <si>
    <t>41529.2</t>
  </si>
  <si>
    <t>24917.52</t>
  </si>
  <si>
    <t>内蒙古大地河置业有限责任公司</t>
  </si>
  <si>
    <t>911500007610743899</t>
  </si>
  <si>
    <t>李瑞江</t>
  </si>
  <si>
    <t>金融业</t>
  </si>
  <si>
    <t>1518</t>
  </si>
  <si>
    <t>910.8</t>
  </si>
  <si>
    <t>内蒙古万德劳务有限公司</t>
  </si>
  <si>
    <t>91150691MA0NG8J831</t>
  </si>
  <si>
    <t>闫桂琴</t>
  </si>
  <si>
    <t>13634778695</t>
  </si>
  <si>
    <t>电气机械和器材制造业</t>
  </si>
  <si>
    <t>15689.38</t>
  </si>
  <si>
    <t>9413.63</t>
  </si>
  <si>
    <t>鄂尔多斯市天逸科贸有限公司</t>
  </si>
  <si>
    <t>9115069109670778XX</t>
  </si>
  <si>
    <t>关鑫</t>
  </si>
  <si>
    <t>15648710116</t>
  </si>
  <si>
    <t>热力生产和供应</t>
  </si>
  <si>
    <t>69</t>
  </si>
  <si>
    <t>65662.2</t>
  </si>
  <si>
    <t>39397.32</t>
  </si>
  <si>
    <t>康洁科技集团有限公司康巴什分公司</t>
  </si>
  <si>
    <t>91150691MA0NCD6151</t>
  </si>
  <si>
    <t>15149467373</t>
  </si>
  <si>
    <t>40</t>
  </si>
  <si>
    <t>36947.82</t>
  </si>
  <si>
    <t>22168.69</t>
  </si>
  <si>
    <t>鄂尔多斯市彤音盛达国际文化演艺有限公司</t>
  </si>
  <si>
    <t>91150691MA0NE8QP6C</t>
  </si>
  <si>
    <t>牧仁</t>
  </si>
  <si>
    <t>15947501332</t>
  </si>
  <si>
    <t>鄂尔多斯市鸿堡电力安装有限责任公司</t>
  </si>
  <si>
    <t>911506915888083419</t>
  </si>
  <si>
    <t>张天宇</t>
  </si>
  <si>
    <t>内蒙古长达监测有限公司</t>
  </si>
  <si>
    <t>91150627341429753K</t>
  </si>
  <si>
    <t>张红霞</t>
  </si>
  <si>
    <t>1257.84</t>
  </si>
  <si>
    <t>754.7</t>
  </si>
  <si>
    <t>鄂尔多斯市水投碧水惠源水务有限公司</t>
  </si>
  <si>
    <t>91150691MA0N9FTJ8L</t>
  </si>
  <si>
    <t>高霞</t>
  </si>
  <si>
    <t>其他房屋建筑业</t>
  </si>
  <si>
    <t>950.18</t>
  </si>
  <si>
    <t>570.11</t>
  </si>
  <si>
    <t>内蒙古金广水利工程有限公司</t>
  </si>
  <si>
    <t>91150691MA0N89HUXQ</t>
  </si>
  <si>
    <t>武秉琴</t>
  </si>
  <si>
    <t>1123.38</t>
  </si>
  <si>
    <t>674.03</t>
  </si>
  <si>
    <t>鄂尔多斯市雅乐工程建设有限公司</t>
  </si>
  <si>
    <t>911506915946336487</t>
  </si>
  <si>
    <t>别朝光</t>
  </si>
  <si>
    <t>13384800909</t>
  </si>
  <si>
    <t>402205075329</t>
  </si>
  <si>
    <t>1920</t>
  </si>
  <si>
    <t>1152</t>
  </si>
  <si>
    <t>2021年存在欠费</t>
  </si>
  <si>
    <t>内蒙古鸿业建筑装饰工程有限公司</t>
  </si>
  <si>
    <t>91150691MA0MYPEW1Y</t>
  </si>
  <si>
    <t>张殿义</t>
  </si>
  <si>
    <t>内蒙古维地标规划建筑设计有限公司</t>
  </si>
  <si>
    <t>91150691MA0N72YY64</t>
  </si>
  <si>
    <t>张军</t>
  </si>
  <si>
    <t>1737.84</t>
  </si>
  <si>
    <t>1042.7</t>
  </si>
  <si>
    <t>鄂尔多斯市博宇商品混凝土有限责任公司</t>
  </si>
  <si>
    <t>91150691552823232M</t>
  </si>
  <si>
    <t>张鹏</t>
  </si>
  <si>
    <t>17647318123</t>
  </si>
  <si>
    <t>62</t>
  </si>
  <si>
    <t>46026.6</t>
  </si>
  <si>
    <t>27615.96</t>
  </si>
  <si>
    <t>鄂尔多斯市航盖科技有限公司</t>
  </si>
  <si>
    <t>91150691594633728T</t>
  </si>
  <si>
    <t>私营股份有限（公司）</t>
  </si>
  <si>
    <t>霍世雄</t>
  </si>
  <si>
    <t>4268.58</t>
  </si>
  <si>
    <t>2561.15</t>
  </si>
  <si>
    <t>鄂尔多斯市重安财务会计咨询有限公司</t>
  </si>
  <si>
    <t>91150691MA0MXF5K37</t>
  </si>
  <si>
    <t>刘洋</t>
  </si>
  <si>
    <t>13810053261</t>
  </si>
  <si>
    <t>310</t>
  </si>
  <si>
    <t>内蒙古康巴什汽车服务有限公司</t>
  </si>
  <si>
    <t>91150691MA0MXGH332</t>
  </si>
  <si>
    <t>李云凡</t>
  </si>
  <si>
    <t>15998376643</t>
  </si>
  <si>
    <t>1347.48</t>
  </si>
  <si>
    <t>808.49</t>
  </si>
  <si>
    <t>鄂尔多斯市天马行空文化旅游有限公司</t>
  </si>
  <si>
    <t>911506913290849242</t>
  </si>
  <si>
    <t>段世杰</t>
  </si>
  <si>
    <t>内蒙古博源电子科技有限责任公司</t>
  </si>
  <si>
    <t>91150691MA0MYXB10A</t>
  </si>
  <si>
    <t>15134844036</t>
  </si>
  <si>
    <t>其他未列明专业技术服务业</t>
  </si>
  <si>
    <t>鄂尔多斯市优晟物流有限公司</t>
  </si>
  <si>
    <t>91150691MA0MYTR897</t>
  </si>
  <si>
    <t>吕政</t>
  </si>
  <si>
    <t>13722076401</t>
  </si>
  <si>
    <t>农副食品加工业</t>
  </si>
  <si>
    <t>6391.72</t>
  </si>
  <si>
    <t>3835.03</t>
  </si>
  <si>
    <t>鄂尔多斯市锐浩商贸有限责任公司</t>
  </si>
  <si>
    <t>91150691MA0N5B3B4J</t>
  </si>
  <si>
    <t>鲁昌</t>
  </si>
  <si>
    <t>15147545150</t>
  </si>
  <si>
    <t>5530.2</t>
  </si>
  <si>
    <t>3318.12</t>
  </si>
  <si>
    <t>内蒙古众腾建设有限责任公司</t>
  </si>
  <si>
    <t>91150691MA0N6BCA9U</t>
  </si>
  <si>
    <t>王骜</t>
  </si>
  <si>
    <t>15849713890</t>
  </si>
  <si>
    <t>9294.48</t>
  </si>
  <si>
    <t>5576.69</t>
  </si>
  <si>
    <t>2024年存在差额欠费，公司说已补缴</t>
  </si>
  <si>
    <t>鄂尔多斯市普渡科技有限公司</t>
  </si>
  <si>
    <t>91150691578886004T</t>
  </si>
  <si>
    <t>陈跃</t>
  </si>
  <si>
    <t>30669.6</t>
  </si>
  <si>
    <t>18401.76</t>
  </si>
  <si>
    <t>内蒙古高投共建科技有限责任公司</t>
  </si>
  <si>
    <t>91150691MA0N4PF037</t>
  </si>
  <si>
    <t>杨宇龙</t>
  </si>
  <si>
    <t>15326779998</t>
  </si>
  <si>
    <t>27</t>
  </si>
  <si>
    <t>21865.88</t>
  </si>
  <si>
    <t>13119.53</t>
  </si>
  <si>
    <t>2024年存在差额欠费</t>
  </si>
  <si>
    <t>鄂尔多斯市凯荣路桥工程有限责任公司</t>
  </si>
  <si>
    <t>91150691686543201H</t>
  </si>
  <si>
    <t>胡昱龙</t>
  </si>
  <si>
    <t>1638</t>
  </si>
  <si>
    <t>982.8</t>
  </si>
  <si>
    <t>鄂尔多斯市善泽家庭服务有限责任公司</t>
  </si>
  <si>
    <t>91150691MA0MWRJB6J</t>
  </si>
  <si>
    <t>边梁宇</t>
  </si>
  <si>
    <t>13500678634</t>
  </si>
  <si>
    <t>4834.18</t>
  </si>
  <si>
    <t>2900.51</t>
  </si>
  <si>
    <t>鄂尔多斯市邑智环保设备技术咨询有限公司</t>
  </si>
  <si>
    <t>91150691MA0N4JB796</t>
  </si>
  <si>
    <t>杨建三</t>
  </si>
  <si>
    <t>13847129539</t>
  </si>
  <si>
    <t>1731.2</t>
  </si>
  <si>
    <t>1038.72</t>
  </si>
  <si>
    <t>鄂尔多斯市路友网络科技有限公司</t>
  </si>
  <si>
    <t>91150691341323764F</t>
  </si>
  <si>
    <t>洪继群</t>
  </si>
  <si>
    <t>18140687890</t>
  </si>
  <si>
    <t>1403.58</t>
  </si>
  <si>
    <t>842.15</t>
  </si>
  <si>
    <t>鄂尔多斯市铭晟鑫物业管理服务有限责任公司</t>
  </si>
  <si>
    <t>91150691MA0N04U18K</t>
  </si>
  <si>
    <t>王宇龙</t>
  </si>
  <si>
    <t>13150893399</t>
  </si>
  <si>
    <t>4573.9</t>
  </si>
  <si>
    <t>2744.34</t>
  </si>
  <si>
    <t>鄂尔多斯市康巴什旅行社有限公司</t>
  </si>
  <si>
    <t>91150691050591427A</t>
  </si>
  <si>
    <t>马军</t>
  </si>
  <si>
    <t>15374939911</t>
  </si>
  <si>
    <t>121</t>
  </si>
  <si>
    <t>88681.68</t>
  </si>
  <si>
    <t>53209.01</t>
  </si>
  <si>
    <t>鄂尔多斯市康煜电力建设工程有限责任公司</t>
  </si>
  <si>
    <t>911506915851556567</t>
  </si>
  <si>
    <t>有限责任（公司）</t>
  </si>
  <si>
    <t>李宗渊</t>
  </si>
  <si>
    <t>13337062123</t>
  </si>
  <si>
    <t>10483.88</t>
  </si>
  <si>
    <t>6290.33</t>
  </si>
  <si>
    <t>基本户冻结</t>
  </si>
  <si>
    <t>鄂尔多斯市旭远建设工程有限公司</t>
  </si>
  <si>
    <t>91150691MA0N087R5E</t>
  </si>
  <si>
    <t>杨树峰</t>
  </si>
  <si>
    <t>13474876586</t>
  </si>
  <si>
    <t>装卸搬运</t>
  </si>
  <si>
    <t>105205066456</t>
  </si>
  <si>
    <t>9750</t>
  </si>
  <si>
    <t>5850</t>
  </si>
  <si>
    <t>内蒙古东方股权投资有限公司</t>
  </si>
  <si>
    <t>91150691MA0N03W50D</t>
  </si>
  <si>
    <t>杨媚兰</t>
  </si>
  <si>
    <t>15849768820</t>
  </si>
  <si>
    <t>35</t>
  </si>
  <si>
    <t>33773.4</t>
  </si>
  <si>
    <t>20264.04</t>
  </si>
  <si>
    <t>鄂尔多斯市鄂能投资集团有限公司</t>
  </si>
  <si>
    <t>9115062705394681XQ</t>
  </si>
  <si>
    <t>张幸磊</t>
  </si>
  <si>
    <t>600.18</t>
  </si>
  <si>
    <t>360.11</t>
  </si>
  <si>
    <t>无法联系到该公司 2020年存在差额欠费</t>
  </si>
  <si>
    <t>内蒙古亿隆市政工程有限责任公司</t>
  </si>
  <si>
    <t>91150691MA0MWEA624</t>
  </si>
  <si>
    <t>卢兴盛</t>
  </si>
  <si>
    <t>2873.94</t>
  </si>
  <si>
    <t>1724.36</t>
  </si>
  <si>
    <t>内蒙古康和人家实业有限公司</t>
  </si>
  <si>
    <t>91150691MA0MX9650R</t>
  </si>
  <si>
    <t>蔺星宇</t>
  </si>
  <si>
    <t>303</t>
  </si>
  <si>
    <t>358.56</t>
  </si>
  <si>
    <t>215.14</t>
  </si>
  <si>
    <t>鄂尔多斯市康巴什区鹏越教育培训学校有限公司</t>
  </si>
  <si>
    <t>91150691MA0PYJC97K</t>
  </si>
  <si>
    <t>李永良</t>
  </si>
  <si>
    <t>3988.98</t>
  </si>
  <si>
    <t>1196.69</t>
  </si>
  <si>
    <t>补贴未30%，企业化型</t>
  </si>
  <si>
    <t>鄂尔多斯市润达洁环保科技有限公司</t>
  </si>
  <si>
    <t>91150691MA0MWGGY5N</t>
  </si>
  <si>
    <t>刘建飞</t>
  </si>
  <si>
    <t>鄂尔多斯市晴天科技有限公司</t>
  </si>
  <si>
    <t>91150691581770897U</t>
  </si>
  <si>
    <t>齐宏伟</t>
  </si>
  <si>
    <t>6468.72</t>
  </si>
  <si>
    <t>3881.23</t>
  </si>
  <si>
    <t>内蒙古美月科技有限公司</t>
  </si>
  <si>
    <t>91150691MA0NKQJK24</t>
  </si>
  <si>
    <t>贾敬忠</t>
  </si>
  <si>
    <t>21558.42</t>
  </si>
  <si>
    <t>12935.05</t>
  </si>
  <si>
    <r>
      <rPr>
        <sz val="10"/>
        <color rgb="FFFF0000"/>
        <rFont val="宋体"/>
        <charset val="134"/>
        <scheme val="minor"/>
      </rPr>
      <t>2014/2019/2020/2024有欠费</t>
    </r>
    <r>
      <rPr>
        <sz val="10"/>
        <color theme="1"/>
        <rFont val="宋体"/>
        <charset val="134"/>
        <scheme val="minor"/>
      </rPr>
      <t>，金额正确（已微信通知处理欠费，十月底前未处理，退回自主申报10.17）</t>
    </r>
  </si>
  <si>
    <t>鄂尔多斯市蒙凯龙水利工程材料检测有限责任公司</t>
  </si>
  <si>
    <t>91150691575678058B</t>
  </si>
  <si>
    <t>乔卓</t>
  </si>
  <si>
    <t>鄂尔多斯市华北瑞达油气工程技术服务有限责任公司</t>
  </si>
  <si>
    <t>91150691MA0MWA4K85</t>
  </si>
  <si>
    <t>郭鑫</t>
  </si>
  <si>
    <t>15047305767</t>
  </si>
  <si>
    <t>301205000011</t>
  </si>
  <si>
    <t>48</t>
  </si>
  <si>
    <t>35738.86</t>
  </si>
  <si>
    <t>21443.32</t>
  </si>
  <si>
    <t>内蒙古荣通数链煤炭科技有限公司</t>
  </si>
  <si>
    <t>91150621MA0NLLUF3L</t>
  </si>
  <si>
    <t>王学兰</t>
  </si>
  <si>
    <t>2097.84</t>
  </si>
  <si>
    <t>1258.7</t>
  </si>
  <si>
    <t>内蒙古恒达小额贷款有限公司</t>
  </si>
  <si>
    <t>91150802564154072N</t>
  </si>
  <si>
    <t>3939.2</t>
  </si>
  <si>
    <t>2363.52</t>
  </si>
  <si>
    <t>鄂尔多斯市立成电力工程有限责任公司</t>
  </si>
  <si>
    <t>91150691581751549K</t>
  </si>
  <si>
    <t>白秉廉</t>
  </si>
  <si>
    <t>15930.6</t>
  </si>
  <si>
    <t>9558.36</t>
  </si>
  <si>
    <t>鄂尔多斯市通惠热力有限公司</t>
  </si>
  <si>
    <t>91150691MA0QK8F236</t>
  </si>
  <si>
    <t>高楠</t>
  </si>
  <si>
    <t>15047135563</t>
  </si>
  <si>
    <t>报纸出版</t>
  </si>
  <si>
    <t>17190.6</t>
  </si>
  <si>
    <t>10314.36</t>
  </si>
  <si>
    <t>鄂尔多斯市通惠燃气有限公司</t>
  </si>
  <si>
    <t>91150691MA0QKRD06W</t>
  </si>
  <si>
    <t>王洪莉</t>
  </si>
  <si>
    <t>17739342111</t>
  </si>
  <si>
    <t>402205840231</t>
  </si>
  <si>
    <t>内蒙古左右科技有限公司</t>
  </si>
  <si>
    <t>91150691397679030H</t>
  </si>
  <si>
    <t>313205000698</t>
  </si>
  <si>
    <t>761.94</t>
  </si>
  <si>
    <t>457.16</t>
  </si>
  <si>
    <t>内蒙古众旺劳务有限公司</t>
  </si>
  <si>
    <t>91150691555453839W</t>
  </si>
  <si>
    <t>范金礼</t>
  </si>
  <si>
    <t>14747770512</t>
  </si>
  <si>
    <t>104205000078</t>
  </si>
  <si>
    <t>鄂尔多斯市兴曜物业管理有限责任公司</t>
  </si>
  <si>
    <t>91150691MA0MY5GT5J</t>
  </si>
  <si>
    <t>尹志刚</t>
  </si>
  <si>
    <t>18547775366</t>
  </si>
  <si>
    <t>102205008268</t>
  </si>
  <si>
    <t>2066.68</t>
  </si>
  <si>
    <t>1240.01</t>
  </si>
  <si>
    <t>内蒙古友信装饰工程有限公司</t>
  </si>
  <si>
    <t>91150691MA0Q0CM030</t>
  </si>
  <si>
    <t>105202066456</t>
  </si>
  <si>
    <t>986.04</t>
  </si>
  <si>
    <t>591.62</t>
  </si>
  <si>
    <t>内蒙古慕和国际教育科技有限公司</t>
  </si>
  <si>
    <t>91150691MA0Q3KFQX1</t>
  </si>
  <si>
    <t>袁圆</t>
  </si>
  <si>
    <t>广播电视集成播控</t>
  </si>
  <si>
    <t>110</t>
  </si>
  <si>
    <t>84307.16</t>
  </si>
  <si>
    <t>50584.3</t>
  </si>
  <si>
    <t>鄂尔多斯市方与信息咨询有限责任公司</t>
  </si>
  <si>
    <t>91150691MA0QGG5C14</t>
  </si>
  <si>
    <t>田开和</t>
  </si>
  <si>
    <t>313205010023</t>
  </si>
  <si>
    <t>15216.16</t>
  </si>
  <si>
    <t>9129.7</t>
  </si>
  <si>
    <t>2024有补差欠费，金额正确，（已微信通知处理欠费，十月底前未处理，退回自主申报10.17）</t>
  </si>
  <si>
    <t>鄂尔多斯市君实科技有限责任公司</t>
  </si>
  <si>
    <t>911506910821576922</t>
  </si>
  <si>
    <t>刘双全</t>
  </si>
  <si>
    <t>13947731618</t>
  </si>
  <si>
    <t>2024有补差欠费，维护银行，金额正确（已微信通知处理欠费，十月底前未处理，退回自主申报10.17）</t>
  </si>
  <si>
    <t>鄂尔多斯市云新技术研究有限公司</t>
  </si>
  <si>
    <t>91150691MA0Q78U015</t>
  </si>
  <si>
    <t>吕小豹</t>
  </si>
  <si>
    <t>15332856881</t>
  </si>
  <si>
    <t>42</t>
  </si>
  <si>
    <t>26231.06</t>
  </si>
  <si>
    <t>15738.64</t>
  </si>
  <si>
    <t>鄂尔多斯市新能源开发利用有限公司</t>
  </si>
  <si>
    <t>91150600085158770F</t>
  </si>
  <si>
    <t>常青利</t>
  </si>
  <si>
    <t>13847712392</t>
  </si>
  <si>
    <t>其他质检技术服务</t>
  </si>
  <si>
    <t>鄂尔多斯市兰凯泷消防有限公司</t>
  </si>
  <si>
    <t>91150691MA0N023N0R</t>
  </si>
  <si>
    <t>武晓英</t>
  </si>
  <si>
    <t>313205000085</t>
  </si>
  <si>
    <t>10332.56</t>
  </si>
  <si>
    <t>6199.54</t>
  </si>
  <si>
    <t>鄂尔多斯市法和信息技术有限公司</t>
  </si>
  <si>
    <t>9115069107559937XT</t>
  </si>
  <si>
    <t>4006.32</t>
  </si>
  <si>
    <t>2403.79</t>
  </si>
  <si>
    <t>鄂尔多斯市文翔科技有限公司</t>
  </si>
  <si>
    <t>911506913184367870</t>
  </si>
  <si>
    <t>何风光</t>
  </si>
  <si>
    <t>2241</t>
  </si>
  <si>
    <t>鄂尔多斯市容大房地产开发有限公司</t>
  </si>
  <si>
    <t>911506917870997442</t>
  </si>
  <si>
    <t>燕耀飞</t>
  </si>
  <si>
    <t>15947595557</t>
  </si>
  <si>
    <t>电信、广播电视和卫星传输服务</t>
  </si>
  <si>
    <t>103205036513</t>
  </si>
  <si>
    <t>9098.46</t>
  </si>
  <si>
    <t>5459.08</t>
  </si>
  <si>
    <t>内蒙古蒙联消防设备有限责任公司</t>
  </si>
  <si>
    <t>91150691097248706X</t>
  </si>
  <si>
    <t>董玉丹</t>
  </si>
  <si>
    <t>11936.76</t>
  </si>
  <si>
    <t>7162.06</t>
  </si>
  <si>
    <t>内蒙古朵日纳硒科生物技术有限公司</t>
  </si>
  <si>
    <t>91150691329059761E</t>
  </si>
  <si>
    <t>王文兵</t>
  </si>
  <si>
    <t>未审/通过</t>
  </si>
  <si>
    <t>金额正确，核对银行</t>
  </si>
  <si>
    <t>鄂尔多斯市泛泰建设有限责任公司</t>
  </si>
  <si>
    <t>91150691570646823H</t>
  </si>
  <si>
    <t>刘至</t>
  </si>
  <si>
    <t>21704</t>
  </si>
  <si>
    <t>13022.4</t>
  </si>
  <si>
    <t>鄂尔多斯市康能煤炭经销有限公司</t>
  </si>
  <si>
    <t>91150691597306191K</t>
  </si>
  <si>
    <t>张锐</t>
  </si>
  <si>
    <t>27046.22</t>
  </si>
  <si>
    <t>16227.73</t>
  </si>
  <si>
    <t>鄂尔多斯市康巴什文化旅游发展有限公司</t>
  </si>
  <si>
    <t>91150691570634021P</t>
  </si>
  <si>
    <t>姜俊晓</t>
  </si>
  <si>
    <t>15953371026</t>
  </si>
  <si>
    <t>21662.02</t>
  </si>
  <si>
    <t>12997.21</t>
  </si>
  <si>
    <t>鄂尔多斯市城投环保有限公司</t>
  </si>
  <si>
    <t>91150691328963943B</t>
  </si>
  <si>
    <t>郭瑞</t>
  </si>
  <si>
    <t>13847709919</t>
  </si>
  <si>
    <t>1524</t>
  </si>
  <si>
    <t>914.4</t>
  </si>
  <si>
    <t>内蒙古新银通信息有限责任公司</t>
  </si>
  <si>
    <t>911506000783807286</t>
  </si>
  <si>
    <t>杨炳彦</t>
  </si>
  <si>
    <t>13190809579</t>
  </si>
  <si>
    <t>燃气生产和供应业</t>
  </si>
  <si>
    <t>4260.74</t>
  </si>
  <si>
    <t>2556.44</t>
  </si>
  <si>
    <t>鄂尔多斯市驰泽工程机械有限公司</t>
  </si>
  <si>
    <t>91150691581777407E</t>
  </si>
  <si>
    <t>林二军</t>
  </si>
  <si>
    <t>鄂尔多斯市高投互联科技有限公司</t>
  </si>
  <si>
    <t>9115069131845116XB</t>
  </si>
  <si>
    <t>闫政燊</t>
  </si>
  <si>
    <t>15047598030</t>
  </si>
  <si>
    <t>47</t>
  </si>
  <si>
    <t>64769.4</t>
  </si>
  <si>
    <t>38861.64</t>
  </si>
  <si>
    <t>内蒙古冠新软件科技有限公司</t>
  </si>
  <si>
    <t>91150691396226881A</t>
  </si>
  <si>
    <t>张亚峰</t>
  </si>
  <si>
    <t>15374999779</t>
  </si>
  <si>
    <t>61</t>
  </si>
  <si>
    <t>44922.04</t>
  </si>
  <si>
    <t>26953.22</t>
  </si>
  <si>
    <t>鄂尔多斯社会组织服务中心</t>
  </si>
  <si>
    <t>521506000755536549</t>
  </si>
  <si>
    <t>刘满世</t>
  </si>
  <si>
    <t>21245</t>
  </si>
  <si>
    <t>12747</t>
  </si>
  <si>
    <t>山东能源集团内蒙古盛鲁能化有限公司（20230926注销）</t>
  </si>
  <si>
    <t>91150600585189768E</t>
  </si>
  <si>
    <t>张文俊</t>
  </si>
  <si>
    <t>15248155772</t>
  </si>
  <si>
    <t>12804.08</t>
  </si>
  <si>
    <t>7682.45</t>
  </si>
  <si>
    <t>内蒙古泰达建筑工程有限责任公司</t>
  </si>
  <si>
    <t>91150691098152562C</t>
  </si>
  <si>
    <t>鄂尔多斯市城市水务有限责任公司</t>
  </si>
  <si>
    <t>911506003962613532</t>
  </si>
  <si>
    <t>王大勇</t>
  </si>
  <si>
    <t>15134821117</t>
  </si>
  <si>
    <t>305205087015</t>
  </si>
  <si>
    <t>30422.46</t>
  </si>
  <si>
    <t>18253.48</t>
  </si>
  <si>
    <t>鄂尔多斯市康能新洁能源有限公司</t>
  </si>
  <si>
    <t>91150691573292741R</t>
  </si>
  <si>
    <t>曹永杰</t>
  </si>
  <si>
    <t>13848676636</t>
  </si>
  <si>
    <t>内蒙古满世荣鑫煤炭运销有限公司</t>
  </si>
  <si>
    <t>911506915581094434</t>
  </si>
  <si>
    <t>18091993521</t>
  </si>
  <si>
    <t>供应链管理服务</t>
  </si>
  <si>
    <t>2571.64</t>
  </si>
  <si>
    <t>1542.98</t>
  </si>
  <si>
    <t>鄂尔多斯市虹宇测绘有限公司</t>
  </si>
  <si>
    <t>91150691555490162U</t>
  </si>
  <si>
    <t>马小博</t>
  </si>
  <si>
    <t>鄂尔多斯市通惠物业服务有限公司</t>
  </si>
  <si>
    <t>9115069109937540XL</t>
  </si>
  <si>
    <t>席剑凤</t>
  </si>
  <si>
    <t>烟煤和无烟煤开采洗选</t>
  </si>
  <si>
    <t>59796.46</t>
  </si>
  <si>
    <t>35877.88</t>
  </si>
  <si>
    <t>鄂尔多斯市幸磊网络电子科技有限公司</t>
  </si>
  <si>
    <t>91150691082161667T</t>
  </si>
  <si>
    <t>孙晓娥</t>
  </si>
  <si>
    <t>2285.82</t>
  </si>
  <si>
    <t>1371.49</t>
  </si>
  <si>
    <t>鄂尔多斯市信飞数联科技有限责任公司</t>
  </si>
  <si>
    <t>91150691MA13PAN793</t>
  </si>
  <si>
    <t>娜日苏</t>
  </si>
  <si>
    <t>金额正确，核对银行，2024年有补差欠费（已电话通知9.17）</t>
  </si>
  <si>
    <t>鄂尔多斯市同心园物业有限公司</t>
  </si>
  <si>
    <t>91150691MA0QAGEQ02</t>
  </si>
  <si>
    <t>王治财</t>
  </si>
  <si>
    <t>3360.46</t>
  </si>
  <si>
    <t>2016.28</t>
  </si>
  <si>
    <t>鄂尔多斯市康巴什区艺硕艺术培训学校有限责任公司</t>
  </si>
  <si>
    <t>91150602MA0PQGDX87</t>
  </si>
  <si>
    <t>1603.78</t>
  </si>
  <si>
    <t>962.27</t>
  </si>
  <si>
    <t>内蒙古中亿广告装饰技术发展有限公司</t>
  </si>
  <si>
    <t>91150691MA13RA8J2Q</t>
  </si>
  <si>
    <t>赵伟</t>
  </si>
  <si>
    <t>627.48</t>
  </si>
  <si>
    <t>376.49</t>
  </si>
  <si>
    <t>内蒙古华胜能源有限公司</t>
  </si>
  <si>
    <t>91150691MA0QTRHB0J</t>
  </si>
  <si>
    <t>刘来福</t>
  </si>
  <si>
    <t>鄂尔多斯市霖庆爆破工程有限责任公司</t>
  </si>
  <si>
    <t>911506915973030890</t>
  </si>
  <si>
    <t>赵斌</t>
  </si>
  <si>
    <t>103205036020</t>
  </si>
  <si>
    <t>30269.56</t>
  </si>
  <si>
    <t>18161.74</t>
  </si>
  <si>
    <t>鄂尔多斯市方圆百里建筑装饰有限责任公司</t>
  </si>
  <si>
    <t>91150691MA13RHL258</t>
  </si>
  <si>
    <t>杨军花</t>
  </si>
  <si>
    <t>15849784602</t>
  </si>
  <si>
    <t>4706.1</t>
  </si>
  <si>
    <t>2823.66</t>
  </si>
  <si>
    <t>鄂尔多斯市高新技术产业投资有限责任公司</t>
  </si>
  <si>
    <t>911506915817846584</t>
  </si>
  <si>
    <t>温晓龙</t>
  </si>
  <si>
    <t>住宿和餐饮业</t>
  </si>
  <si>
    <t>内蒙古嘉航物业服务有限公司</t>
  </si>
  <si>
    <t>91150691MA0QGG220M</t>
  </si>
  <si>
    <t>郝一军</t>
  </si>
  <si>
    <t>15849234492</t>
  </si>
  <si>
    <t>农业专业及辅助性活动</t>
  </si>
  <si>
    <t>104205000051</t>
  </si>
  <si>
    <t>17</t>
  </si>
  <si>
    <t>8470.92</t>
  </si>
  <si>
    <t>5082.55</t>
  </si>
  <si>
    <t>鄂尔多斯市沃富家居建材市场有限责任公司</t>
  </si>
  <si>
    <t>91150691MA0Q15DC0T</t>
  </si>
  <si>
    <t>王秀琴</t>
  </si>
  <si>
    <t>15661098243</t>
  </si>
  <si>
    <t>304205010534</t>
  </si>
  <si>
    <t>1354</t>
  </si>
  <si>
    <t>812.4</t>
  </si>
  <si>
    <t>鄂尔多斯市康巴什区心悦智慧居家为老服务中心</t>
  </si>
  <si>
    <t>52150603MJY373107N</t>
  </si>
  <si>
    <t>王鹏程</t>
  </si>
  <si>
    <t>广播影视设备批发</t>
  </si>
  <si>
    <t>9151.76</t>
  </si>
  <si>
    <t>5491.06</t>
  </si>
  <si>
    <t>鄂尔多斯市阿西诺文化科技有限公司</t>
  </si>
  <si>
    <t>91150691585164958Y</t>
  </si>
  <si>
    <t>马文国</t>
  </si>
  <si>
    <t>15335679747</t>
  </si>
  <si>
    <t>102100004919</t>
  </si>
  <si>
    <t>164</t>
  </si>
  <si>
    <t>406711.16</t>
  </si>
  <si>
    <t>244026.7</t>
  </si>
  <si>
    <t>鄂尔多斯市农牧业投资开发有限公司</t>
  </si>
  <si>
    <t>911506000616253546</t>
  </si>
  <si>
    <t>李国俭</t>
  </si>
  <si>
    <t>13947796206</t>
  </si>
  <si>
    <t>104205015877</t>
  </si>
  <si>
    <t>6968.9</t>
  </si>
  <si>
    <t>4181.34</t>
  </si>
  <si>
    <t>鄂尔多斯市报业传媒发行物流有限公司</t>
  </si>
  <si>
    <t>911506915612431847</t>
  </si>
  <si>
    <t>苏龙</t>
  </si>
  <si>
    <t>4563.26</t>
  </si>
  <si>
    <t>2737.96</t>
  </si>
  <si>
    <t>内蒙古厨临门餐饮有限公司</t>
  </si>
  <si>
    <t>91150691MA0NBKQAXE</t>
  </si>
  <si>
    <t>谢宝忠</t>
  </si>
  <si>
    <t>13947794230</t>
  </si>
  <si>
    <t>11331.04</t>
  </si>
  <si>
    <t>6798.62</t>
  </si>
  <si>
    <t>鄂尔多斯市容孚商贸有限责任公司</t>
  </si>
  <si>
    <t>91150691MA0PYL9E4W</t>
  </si>
  <si>
    <t>18647739191</t>
  </si>
  <si>
    <t>70510.06</t>
  </si>
  <si>
    <t>42306.04</t>
  </si>
  <si>
    <t>鄂尔多斯市振青税务师事务所有限责任公司</t>
  </si>
  <si>
    <t>91150691594622391N</t>
  </si>
  <si>
    <t>郭树忠</t>
  </si>
  <si>
    <t>15894941298</t>
  </si>
  <si>
    <t>6185.16</t>
  </si>
  <si>
    <t>3711.1</t>
  </si>
  <si>
    <t>内蒙古东方易昇项目管理有限公司</t>
  </si>
  <si>
    <t>91150691MA13QA4E00</t>
  </si>
  <si>
    <t>王彪</t>
  </si>
  <si>
    <t>18647747979</t>
  </si>
  <si>
    <t>3943.2</t>
  </si>
  <si>
    <t>2365.92</t>
  </si>
  <si>
    <t>内蒙古敖包科技有限公司</t>
  </si>
  <si>
    <t>91150602MA0MWG0M5M</t>
  </si>
  <si>
    <t>薛利平</t>
  </si>
  <si>
    <t>927.48</t>
  </si>
  <si>
    <t>556.49</t>
  </si>
  <si>
    <t>鄂尔多斯市广播电视传媒集团有限责任公司</t>
  </si>
  <si>
    <t>911506915851506286</t>
  </si>
  <si>
    <t>18648373688</t>
  </si>
  <si>
    <t>105205066464</t>
  </si>
  <si>
    <t>51</t>
  </si>
  <si>
    <t>69873.86</t>
  </si>
  <si>
    <t>41924.32</t>
  </si>
  <si>
    <t>鄂尔多斯市凯荣电力工程有限公司</t>
  </si>
  <si>
    <t>91150691594630332W</t>
  </si>
  <si>
    <t>詹露</t>
  </si>
  <si>
    <t>18686065171</t>
  </si>
  <si>
    <t>13334.6</t>
  </si>
  <si>
    <t>8000.76</t>
  </si>
  <si>
    <t>鄂尔多斯市东亮路桥有限责任公司</t>
  </si>
  <si>
    <t>911506027201561348</t>
  </si>
  <si>
    <t>李伟清</t>
  </si>
  <si>
    <t>72696.24</t>
  </si>
  <si>
    <t>43617.74</t>
  </si>
  <si>
    <t>鄂尔多斯市宏泽爆破有限责任公司</t>
  </si>
  <si>
    <t>91150691564158532E</t>
  </si>
  <si>
    <t>赵天祺</t>
  </si>
  <si>
    <t>18248339350</t>
  </si>
  <si>
    <t>72</t>
  </si>
  <si>
    <t>56723.68</t>
  </si>
  <si>
    <t>34034.21</t>
  </si>
  <si>
    <t>内蒙古正昊校准检测有限公司</t>
  </si>
  <si>
    <t>91150691MA0Q6LJH0F</t>
  </si>
  <si>
    <t>张森奕</t>
  </si>
  <si>
    <t>13634778787</t>
  </si>
  <si>
    <t>45263.2</t>
  </si>
  <si>
    <t>27157.92</t>
  </si>
  <si>
    <t>鄂尔多斯市中小企业创业投资有限公司</t>
  </si>
  <si>
    <t>91150691555476395F</t>
  </si>
  <si>
    <t>杨少华</t>
  </si>
  <si>
    <t>13947761000</t>
  </si>
  <si>
    <t>3498.12</t>
  </si>
  <si>
    <t>2098.87</t>
  </si>
  <si>
    <t>鄂尔多斯市康巴什区贝乐格艺术培训有限公司</t>
  </si>
  <si>
    <t>91150691MA0MXX680D</t>
  </si>
  <si>
    <t>刘永铁</t>
  </si>
  <si>
    <t>320205000022</t>
  </si>
  <si>
    <t>60</t>
  </si>
  <si>
    <t>37867.36</t>
  </si>
  <si>
    <t>22720.42</t>
  </si>
  <si>
    <t>内蒙古那日迈民族食品有限责任公司</t>
  </si>
  <si>
    <t>91150691MA0NE8HY2F</t>
  </si>
  <si>
    <t>15704976057</t>
  </si>
  <si>
    <t>8112.42</t>
  </si>
  <si>
    <t>4867.45</t>
  </si>
  <si>
    <t>鄂尔多斯市东方弱电管网有限公司</t>
  </si>
  <si>
    <t>91150691764450167Y</t>
  </si>
  <si>
    <t>王飞</t>
  </si>
  <si>
    <t>18700280113</t>
  </si>
  <si>
    <t>鄂尔多斯市方拓测绘有限责任公司（注销）2024年7月3日</t>
  </si>
  <si>
    <t>911506915888472797</t>
  </si>
  <si>
    <t>于庆新</t>
  </si>
  <si>
    <t>13039529851</t>
  </si>
  <si>
    <t>12367.38</t>
  </si>
  <si>
    <t>7420.43</t>
  </si>
  <si>
    <t>鄂尔多斯市国际会展有限公司</t>
  </si>
  <si>
    <t>911506910505947082</t>
  </si>
  <si>
    <t>杨文林</t>
  </si>
  <si>
    <t>32</t>
  </si>
  <si>
    <t>20726.76</t>
  </si>
  <si>
    <t>12436.06</t>
  </si>
  <si>
    <t>金额正确，核对银行，2023年无，未发开户许可证</t>
  </si>
  <si>
    <t>鄂尔多斯市首创投资有限责任公司</t>
  </si>
  <si>
    <t>91150691779494138U</t>
  </si>
  <si>
    <t>郝向东</t>
  </si>
  <si>
    <t>18048382888</t>
  </si>
  <si>
    <t>2380.08</t>
  </si>
  <si>
    <t>1428.05</t>
  </si>
  <si>
    <t>金额正确，核对银行，有行政处罚</t>
  </si>
  <si>
    <t>鄂尔多斯市满世房地产开发有限责任公司</t>
  </si>
  <si>
    <t>911506917722069068</t>
  </si>
  <si>
    <t>赵刚</t>
  </si>
  <si>
    <t>15304779558</t>
  </si>
  <si>
    <t>1800</t>
  </si>
  <si>
    <t>内蒙古康巴什文化产业投资集团有限公司</t>
  </si>
  <si>
    <t>91150691597310166C</t>
  </si>
  <si>
    <t>王军</t>
  </si>
  <si>
    <t>18647194909</t>
  </si>
  <si>
    <t>10881</t>
  </si>
  <si>
    <t>6528.6</t>
  </si>
  <si>
    <t>山东三维化学集团股份有限公司内蒙古分公司</t>
  </si>
  <si>
    <t>9115069105056834X6</t>
  </si>
  <si>
    <t>王忠华</t>
  </si>
  <si>
    <t>18047789090</t>
  </si>
  <si>
    <t>15320.12</t>
  </si>
  <si>
    <t>9192.07</t>
  </si>
  <si>
    <t>复审退回</t>
  </si>
  <si>
    <t>内蒙古百匠商贸有限责任公司</t>
  </si>
  <si>
    <t>911506915612279855</t>
  </si>
  <si>
    <t>袁生亮</t>
  </si>
  <si>
    <t>13310317297</t>
  </si>
  <si>
    <t>5516.88</t>
  </si>
  <si>
    <t>3310.13</t>
  </si>
  <si>
    <t>退回：环保处罚</t>
  </si>
  <si>
    <t>鄂尔多斯市旭阳燃气有限责任公司</t>
  </si>
  <si>
    <t>91150691597333915N</t>
  </si>
  <si>
    <t>韩宇伦</t>
  </si>
  <si>
    <t>18504776919</t>
  </si>
  <si>
    <t>4648.56</t>
  </si>
  <si>
    <t>2789.14</t>
  </si>
  <si>
    <t>鄂尔多斯市博荣酒店管理有限责任公司</t>
  </si>
  <si>
    <t>91150691070122169E</t>
  </si>
  <si>
    <t>张玉景</t>
  </si>
  <si>
    <t>13552329757</t>
  </si>
  <si>
    <t>化学原料和化学制品制造业</t>
  </si>
  <si>
    <t>12847.18</t>
  </si>
  <si>
    <t>7708.31</t>
  </si>
  <si>
    <t>鄂尔多斯市通惠机电设备有限公司</t>
  </si>
  <si>
    <t>91150691573292688X</t>
  </si>
  <si>
    <t>刘拴拴</t>
  </si>
  <si>
    <t>15547751130</t>
  </si>
  <si>
    <t>727581</t>
  </si>
  <si>
    <t>44</t>
  </si>
  <si>
    <t>35535.14</t>
  </si>
  <si>
    <t>21321.08</t>
  </si>
  <si>
    <t>金额正确，核对银行，2023年无，有行政处罚</t>
  </si>
  <si>
    <t>鄂尔多斯市通惠商贸有限公司</t>
  </si>
  <si>
    <t>911506915732926023</t>
  </si>
  <si>
    <t>祁学东</t>
  </si>
  <si>
    <t>18347724000</t>
  </si>
  <si>
    <t>农用薄膜批发</t>
  </si>
  <si>
    <t>6544.16</t>
  </si>
  <si>
    <t>3926.5</t>
  </si>
  <si>
    <t>发到中国人民财产保险股份有限公司鄂尔多斯市分公司</t>
  </si>
  <si>
    <t>满世投资集团有限公司</t>
  </si>
  <si>
    <t>91150000581757676M</t>
  </si>
  <si>
    <t>李维成</t>
  </si>
  <si>
    <t>15149776585</t>
  </si>
  <si>
    <t>8295.66</t>
  </si>
  <si>
    <t>4977.4</t>
  </si>
  <si>
    <t>金额正确，核对银行，有行政处罚（已通知单位）</t>
  </si>
  <si>
    <t>鄂尔多斯市城投环境资源技术有限公司</t>
  </si>
  <si>
    <t>91150600552823056Y</t>
  </si>
  <si>
    <t>李泓</t>
  </si>
  <si>
    <t>15047392070</t>
  </si>
  <si>
    <t>65920.74</t>
  </si>
  <si>
    <t>39552.44</t>
  </si>
  <si>
    <t>鄂尔多斯市康东消防设备工程有限公司</t>
  </si>
  <si>
    <t>9115060239760221XY</t>
  </si>
  <si>
    <t>贺振华</t>
  </si>
  <si>
    <t>13704770175</t>
  </si>
  <si>
    <t>建筑工程机械与设备经营租赁</t>
  </si>
  <si>
    <t>内蒙古东方路桥建设有限责任公司</t>
  </si>
  <si>
    <t>91150691MA0Q481X05</t>
  </si>
  <si>
    <t>魏正</t>
  </si>
  <si>
    <t>15047773256</t>
  </si>
  <si>
    <t>678</t>
  </si>
  <si>
    <t>297342</t>
  </si>
  <si>
    <t>178405.2</t>
  </si>
  <si>
    <t>鄂尔多斯市东阳建筑劳务服务有限责任公司</t>
  </si>
  <si>
    <t>91150691664059355E</t>
  </si>
  <si>
    <t>王海芳</t>
  </si>
  <si>
    <t>13337069980</t>
  </si>
  <si>
    <t>内蒙古华远路桥有限公司</t>
  </si>
  <si>
    <t>91150602588815410X</t>
  </si>
  <si>
    <t>苗爱文</t>
  </si>
  <si>
    <t>13847759141</t>
  </si>
  <si>
    <t>75</t>
  </si>
  <si>
    <t>88165.48</t>
  </si>
  <si>
    <t>52899.29</t>
  </si>
  <si>
    <t>内蒙古华吉辰供应链科技有限公司</t>
  </si>
  <si>
    <t>91150691MA0QTNNY6F</t>
  </si>
  <si>
    <t>刘博</t>
  </si>
  <si>
    <t>15547758150</t>
  </si>
  <si>
    <t>鄂尔多斯市康巴什区艾斯玛特教育培训学校有限公司</t>
  </si>
  <si>
    <t>91150691MA0QB4G2XH</t>
  </si>
  <si>
    <t>孙建清</t>
  </si>
  <si>
    <t>17304840013</t>
  </si>
  <si>
    <t>2106.54</t>
  </si>
  <si>
    <t>1263.92</t>
  </si>
  <si>
    <t>2022年有补差欠费，2023年无</t>
  </si>
  <si>
    <t>打电话问其主要为劳务派遣单位</t>
  </si>
  <si>
    <t>鄂尔多斯市能源投资开发有限公司</t>
  </si>
  <si>
    <t>911506006769038404</t>
  </si>
  <si>
    <t>闫瑞园</t>
  </si>
  <si>
    <t>1620.54</t>
  </si>
  <si>
    <t>972.32</t>
  </si>
  <si>
    <t>内蒙古蒙马生态科技有限公司</t>
  </si>
  <si>
    <t>91150691MA0PU3YWXX</t>
  </si>
  <si>
    <t>其他建筑安装</t>
  </si>
  <si>
    <t>6187.04</t>
  </si>
  <si>
    <t>3712.22</t>
  </si>
  <si>
    <t>鄂尔多斯市全过程项目管理有限公司</t>
  </si>
  <si>
    <t>91150691MA13Q50157</t>
  </si>
  <si>
    <t>潘新民</t>
  </si>
  <si>
    <t>8347187</t>
  </si>
  <si>
    <t>金额正确，核对银行，2023年无</t>
  </si>
  <si>
    <t>鄂尔多斯市通利达工程有限公司</t>
  </si>
  <si>
    <t>91150691MA13Q0WN5P</t>
  </si>
  <si>
    <t>余虹丽</t>
  </si>
  <si>
    <t>其他非公开募集证券投资基金</t>
  </si>
  <si>
    <t>3132025000085</t>
  </si>
  <si>
    <t>12537.88</t>
  </si>
  <si>
    <t>7522.73</t>
  </si>
  <si>
    <t>内蒙古鸣霄技术咨询有限责任公司</t>
  </si>
  <si>
    <t>91150691MA0QQUG81U</t>
  </si>
  <si>
    <t>5826.6</t>
  </si>
  <si>
    <t>3495.96</t>
  </si>
  <si>
    <t>鄂尔多斯市起跑线教育发展有限公司</t>
  </si>
  <si>
    <t>91150602MA0Q2G4T89</t>
  </si>
  <si>
    <t>项建军</t>
  </si>
  <si>
    <t>15047796777</t>
  </si>
  <si>
    <t>2112.84</t>
  </si>
  <si>
    <t>1267.7</t>
  </si>
  <si>
    <t>鄂尔多斯市旭茂商贸有限公司</t>
  </si>
  <si>
    <t>91150691MA0Q0RDT4E</t>
  </si>
  <si>
    <t>孟克那顺</t>
  </si>
  <si>
    <t>15034896333</t>
  </si>
  <si>
    <t>4930.2</t>
  </si>
  <si>
    <t>2958.12</t>
  </si>
  <si>
    <t>内蒙古达越环保科技有限公司</t>
  </si>
  <si>
    <t>91150691MA0N3DJ43C</t>
  </si>
  <si>
    <t>苏瑞</t>
  </si>
  <si>
    <t>其他采矿业</t>
  </si>
  <si>
    <t>鄂尔多斯市城投机场高速建设有限责任公司</t>
  </si>
  <si>
    <t>91150691699478613W</t>
  </si>
  <si>
    <t>王玉成</t>
  </si>
  <si>
    <t>15147730905</t>
  </si>
  <si>
    <t>瓶（罐）装饮用水制造</t>
  </si>
  <si>
    <t>8155.16</t>
  </si>
  <si>
    <t>4893.1</t>
  </si>
  <si>
    <t>鄂尔多斯市莜面村餐饮管理有限公司康巴什区分公司</t>
  </si>
  <si>
    <t>911506915851872364</t>
  </si>
  <si>
    <t>李跃飞</t>
  </si>
  <si>
    <t>102205800025</t>
  </si>
  <si>
    <t>10226.28</t>
  </si>
  <si>
    <t>6135.77</t>
  </si>
  <si>
    <t>鄂尔多斯市康巴什新区金顶九宫涮坊</t>
  </si>
  <si>
    <t>92150691MA0NBFJC8D</t>
  </si>
  <si>
    <t>杨子荣</t>
  </si>
  <si>
    <t>13734847812</t>
  </si>
  <si>
    <t>忘记填环保和失信</t>
  </si>
  <si>
    <t>内蒙古一缕阳光环保科技有限公司</t>
  </si>
  <si>
    <t>91150691MA0QQT4X7Q</t>
  </si>
  <si>
    <t>赵桂芬</t>
  </si>
  <si>
    <t>15049487967</t>
  </si>
  <si>
    <t>2024.3-2024.8失业保险中断交费，2024.9续交</t>
  </si>
  <si>
    <t>鄂尔多斯市凯图科技有限公司</t>
  </si>
  <si>
    <t>9115069139747115X4</t>
  </si>
  <si>
    <t>刘耀</t>
  </si>
  <si>
    <t>鄂尔多斯市占能科技农民专业合作社</t>
  </si>
  <si>
    <t>93150691MA0MXBC2XT</t>
  </si>
  <si>
    <t>闫忠</t>
  </si>
  <si>
    <t>鄂尔多斯市康巴什网络科技有限公司</t>
  </si>
  <si>
    <t>911506915706344009</t>
  </si>
  <si>
    <t>王炳浩</t>
  </si>
  <si>
    <t>鄂尔多斯市康巴什区爱康养老服务中心</t>
  </si>
  <si>
    <t>52150603MJY422925L</t>
  </si>
  <si>
    <t>刘桂平</t>
  </si>
  <si>
    <t>内蒙古京能康巴什热电有限公司</t>
  </si>
  <si>
    <t>91150691680022333P</t>
  </si>
  <si>
    <t>鄂尔多斯资本有限责任公司</t>
  </si>
  <si>
    <t>91150691564156203Y</t>
  </si>
  <si>
    <t>内蒙古弘诚项目管理有限公司</t>
  </si>
  <si>
    <t>91150691MA0QPHLT4E</t>
  </si>
  <si>
    <t>鄂尔多斯市桥头堡印刷有限责任公司</t>
  </si>
  <si>
    <t>911506916865021430</t>
  </si>
  <si>
    <t>鄂尔多斯市诚泰建设有限公司</t>
  </si>
  <si>
    <t>91150691692881856R</t>
  </si>
  <si>
    <t>鄂尔多斯市荣骏建筑有限责任公司</t>
  </si>
  <si>
    <t>91150691552804197D</t>
  </si>
  <si>
    <t>鄂尔多斯市铁路有限公司</t>
  </si>
  <si>
    <t>911506915756575480</t>
  </si>
  <si>
    <t>鄂尔多斯市恒基泰通商砼有限责任公司</t>
  </si>
  <si>
    <t>91150691552826396K</t>
  </si>
  <si>
    <t>鄂尔多斯市交通投资有限公司</t>
  </si>
  <si>
    <t>91150691680031694J</t>
  </si>
  <si>
    <t>鄂尔多斯市紫荆置业有限公司</t>
  </si>
  <si>
    <t>91150691561205022L</t>
  </si>
  <si>
    <t>兖矿能源（鄂尔多斯）有限公司</t>
  </si>
  <si>
    <t>91150691695945851D</t>
  </si>
  <si>
    <t>鄂尔多斯市城投房地产开发有限公司</t>
  </si>
  <si>
    <t>911506916994584523</t>
  </si>
  <si>
    <t>鄂尔多斯市通惠市政工程有限公司</t>
  </si>
  <si>
    <t>911506915706223389</t>
  </si>
  <si>
    <t>鄂尔多斯市鸿旭房地产开发有限责任公司</t>
  </si>
  <si>
    <t>911506917870682434</t>
  </si>
  <si>
    <t>鄂尔多斯市康巴什村镇银行有限公司</t>
  </si>
  <si>
    <t>9115069156693219XP</t>
  </si>
  <si>
    <t>鄂尔多斯市坤利德物业管理服务有限责任公司</t>
  </si>
  <si>
    <t>911506916769327481</t>
  </si>
  <si>
    <t>内蒙古世纪恒越建设项目管理有限公司</t>
  </si>
  <si>
    <t>91150691MA0QG54W98</t>
  </si>
  <si>
    <t>鄂尔多斯市均豪物业管理服务有限责任公司</t>
  </si>
  <si>
    <t>91150691692889153J</t>
  </si>
  <si>
    <t>鄂尔多斯市博宇房地产开发有限责任公司</t>
  </si>
  <si>
    <t>91150691787056031B</t>
  </si>
  <si>
    <t>鄂尔多斯市恒岳商品混凝土有限责任公司</t>
  </si>
  <si>
    <t>91150691674359554G</t>
  </si>
  <si>
    <t>鄂尔多斯市景城水泥制品有限责任公司</t>
  </si>
  <si>
    <t>9115069178708717XA</t>
  </si>
  <si>
    <t>内蒙古精开检测技术有限公司</t>
  </si>
  <si>
    <t>91150691MA13NFTC0F</t>
  </si>
  <si>
    <t>鄂尔多斯市庆和房地产开发有限公司</t>
  </si>
  <si>
    <t>911506915528157932</t>
  </si>
  <si>
    <t>鄂尔多斯市证大房地产开发有限公司</t>
  </si>
  <si>
    <t>91150691674355799J</t>
  </si>
  <si>
    <t>鄂尔多斯市康巴什区国有资产投资经营有限责任公司</t>
  </si>
  <si>
    <t>91150691695946504P</t>
  </si>
  <si>
    <t>内蒙古皓正工程有限公司</t>
  </si>
  <si>
    <t>91150691MA13PETN96</t>
  </si>
  <si>
    <t>内蒙古诚亦信项目管理咨询有限公司</t>
  </si>
  <si>
    <t>91150691MA0QRGYT5J</t>
  </si>
  <si>
    <t>内蒙古京润矿安科技有限公司</t>
  </si>
  <si>
    <t>91150691MA13Q0BH2Q</t>
  </si>
  <si>
    <t>内蒙古吉泰恒岳建设集团有限责任公司</t>
  </si>
  <si>
    <t>911506911142140901</t>
  </si>
  <si>
    <t>中国人民财产保险股份有限公司鄂尔多斯市康巴什新区支公司营销服务部</t>
  </si>
  <si>
    <t>911506916928530890</t>
  </si>
  <si>
    <t>内蒙古鸿德智慧工程有限公司</t>
  </si>
  <si>
    <t>911506916865364901</t>
  </si>
  <si>
    <t>鄂尔多斯市筠泰房地产开发有限公司</t>
  </si>
  <si>
    <t>91150691747943883M</t>
  </si>
  <si>
    <t>鄂尔多斯市乌阿公路有限责任公司</t>
  </si>
  <si>
    <t>91150691660951565F</t>
  </si>
  <si>
    <t>鄂尔多斯市兴楷商贸有限公司</t>
  </si>
  <si>
    <t>9115069179019817XJ</t>
  </si>
  <si>
    <t>内蒙古康宁爆破有限责任公司</t>
  </si>
  <si>
    <t>91150691670680965G</t>
  </si>
  <si>
    <t>鄂尔多斯市泓烨广告有限公司</t>
  </si>
  <si>
    <t>911506917936197186</t>
  </si>
  <si>
    <t>鄂尔多斯市恒信路桥有限责任公司</t>
  </si>
  <si>
    <t>91150691756684764B</t>
  </si>
  <si>
    <t>鄂尔多斯市通惠供热燃气集团有限公司</t>
  </si>
  <si>
    <t>91150691779486795H</t>
  </si>
  <si>
    <t>内蒙古细无声科技有限公司</t>
  </si>
  <si>
    <t>91150691MA0Q0E72XH</t>
  </si>
  <si>
    <t>鄂尔多斯市蓝鹏房地产开发有限责任公司</t>
  </si>
  <si>
    <t>91150691779499043U</t>
  </si>
  <si>
    <t>内蒙古木林森劳务服务有限公司</t>
  </si>
  <si>
    <t>91150691MA13P0XY61</t>
  </si>
  <si>
    <t>内蒙古尚联科技有限公司</t>
  </si>
  <si>
    <t>91150691MA0Q4FD301</t>
  </si>
  <si>
    <t>河北威泰消防安全工程有限责任公司鄂尔多斯市蒙安分公司</t>
  </si>
  <si>
    <t>91150691MA0Q2KAG0T</t>
  </si>
  <si>
    <t>内蒙古远信房地产资产评估有限公司</t>
  </si>
  <si>
    <t>91150691660967057B</t>
  </si>
  <si>
    <t>鄂尔多斯市财富引导私募基金管理有限公司</t>
  </si>
  <si>
    <t>91150691573282797R</t>
  </si>
  <si>
    <t>鄂尔多斯市康巴什区优宝口才艺术培训学校有限责任公司</t>
  </si>
  <si>
    <t>91150691MA0Q8TL4X2</t>
  </si>
  <si>
    <t>鄂尔多斯市康新晟餐饮有限责任公司</t>
  </si>
  <si>
    <t>91150691MA0MY63N6Y</t>
  </si>
  <si>
    <t>内蒙古康东应急消防工程有限公司</t>
  </si>
  <si>
    <t>91150691MA13PWW25M</t>
  </si>
  <si>
    <t>鄂尔多斯市今安爆破工程有限责任公司</t>
  </si>
  <si>
    <t>91150627558118905D</t>
  </si>
  <si>
    <t>鄂尔多斯市水投锶源饮品有限公司</t>
  </si>
  <si>
    <t>91150627MA0Q0N6797</t>
  </si>
  <si>
    <t>内蒙古兴浦科技有限公司</t>
  </si>
  <si>
    <t>91150627MA0NGP2B69</t>
  </si>
  <si>
    <t>内蒙古互荣商贸有限责任公司</t>
  </si>
  <si>
    <t>91150602MA0Q1QKG5W</t>
  </si>
  <si>
    <t>内蒙古翰泽工程管理有限公司（已注销20240510）</t>
  </si>
  <si>
    <t>91150103MA7LF63A85</t>
  </si>
  <si>
    <t>内蒙古佰汇恒业人力资源有限公司鄂尔多斯市康巴什分公司</t>
  </si>
  <si>
    <t>91150691MA7GN0851F</t>
  </si>
  <si>
    <t>91150602MA7YNM6E95</t>
  </si>
  <si>
    <t>内蒙古蒙泰财税服务有限公司</t>
  </si>
  <si>
    <t>91150691MA0Q2HEFXU</t>
  </si>
  <si>
    <t>鄂尔多斯市碳中和研究应用有限公司</t>
  </si>
  <si>
    <t>91150691MA0R7KQC88</t>
  </si>
  <si>
    <t>661506409792800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</si>
</sst>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0"/>
      <name val="Arial"/>
      <charset val="0"/>
    </font>
    <font>
      <b/>
      <sz val="10"/>
      <name val="宋体"/>
      <charset val="134"/>
      <scheme val="minor"/>
    </font>
    <font>
      <sz val="11"/>
      <name val="宋体"/>
      <charset val="134"/>
      <scheme val="minor"/>
    </font>
    <font>
      <sz val="10"/>
      <color theme="1"/>
      <name val="宋体"/>
      <charset val="134"/>
      <scheme val="minor"/>
    </font>
    <font>
      <sz val="10"/>
      <color theme="4" tint="-0.25"/>
      <name val="宋体"/>
      <charset val="134"/>
      <scheme val="minor"/>
    </font>
    <font>
      <sz val="10"/>
      <color theme="1"/>
      <name val="宋体"/>
      <charset val="134"/>
    </font>
    <font>
      <b/>
      <sz val="18"/>
      <color indexed="8"/>
      <name val="仿宋_GB2312"/>
      <charset val="0"/>
    </font>
    <font>
      <b/>
      <sz val="10"/>
      <name val="宋体"/>
      <charset val="134"/>
    </font>
    <font>
      <sz val="11"/>
      <color rgb="FF333333"/>
      <name val="宋体"/>
      <charset val="134"/>
    </font>
    <font>
      <sz val="11"/>
      <name val="宋体"/>
      <charset val="134"/>
    </font>
    <font>
      <sz val="11"/>
      <color rgb="FFC00000"/>
      <name val="宋体"/>
      <charset val="134"/>
      <scheme val="minor"/>
    </font>
    <font>
      <sz val="11"/>
      <color rgb="FF7030A0"/>
      <name val="宋体"/>
      <charset val="134"/>
      <scheme val="minor"/>
    </font>
    <font>
      <sz val="9"/>
      <color rgb="FFFF0000"/>
      <name val="宋体"/>
      <charset val="134"/>
    </font>
    <font>
      <sz val="10"/>
      <name val="宋体"/>
      <charset val="134"/>
      <scheme val="minor"/>
    </font>
    <font>
      <sz val="9"/>
      <color indexed="8"/>
      <name val="宋体"/>
      <charset val="0"/>
    </font>
    <font>
      <sz val="9"/>
      <color indexed="8"/>
      <name val="宋体"/>
      <charset val="134"/>
    </font>
    <font>
      <sz val="11"/>
      <color theme="5" tint="-0.25"/>
      <name val="宋体"/>
      <charset val="134"/>
      <scheme val="minor"/>
    </font>
    <font>
      <sz val="10"/>
      <color rgb="FFFF0000"/>
      <name val="宋体"/>
      <charset val="134"/>
      <scheme val="minor"/>
    </font>
    <font>
      <b/>
      <sz val="11"/>
      <color theme="1"/>
      <name val="宋体"/>
      <charset val="134"/>
      <scheme val="minor"/>
    </font>
    <font>
      <sz val="11"/>
      <color rgb="FFFF0000"/>
      <name val="宋体"/>
      <charset val="134"/>
      <scheme val="minor"/>
    </font>
    <font>
      <sz val="8"/>
      <color rgb="FF000000"/>
      <name val="Verdana"/>
      <charset val="134"/>
    </font>
    <font>
      <b/>
      <sz val="11"/>
      <name val="宋体"/>
      <charset val="134"/>
      <scheme val="minor"/>
    </font>
    <font>
      <sz val="10"/>
      <color rgb="FFFF0000"/>
      <name val="宋体"/>
      <charset val="134"/>
    </font>
    <font>
      <sz val="10"/>
      <color rgb="FF333333"/>
      <name val="宋体"/>
      <charset val="134"/>
    </font>
    <font>
      <sz val="10"/>
      <color theme="4" tint="-0.25"/>
      <name val="宋体"/>
      <charset val="134"/>
    </font>
    <font>
      <sz val="10"/>
      <color theme="4"/>
      <name val="宋体"/>
      <charset val="134"/>
      <scheme val="minor"/>
    </font>
    <font>
      <sz val="10"/>
      <color indexed="8"/>
      <name val="宋体"/>
      <charset val="134"/>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6">
    <fill>
      <patternFill patternType="none"/>
    </fill>
    <fill>
      <patternFill patternType="gray125"/>
    </fill>
    <fill>
      <patternFill patternType="solid">
        <fgColor theme="4" tint="0.6"/>
        <bgColor indexed="64"/>
      </patternFill>
    </fill>
    <fill>
      <patternFill patternType="solid">
        <fgColor indexed="9"/>
        <bgColor indexed="8"/>
      </patternFill>
    </fill>
    <fill>
      <patternFill patternType="solid">
        <fgColor theme="4" tint="0.4"/>
        <bgColor indexed="64"/>
      </patternFill>
    </fill>
    <fill>
      <patternFill patternType="solid">
        <fgColor rgb="FFFFFF00"/>
        <bgColor indexed="64"/>
      </patternFill>
    </fill>
    <fill>
      <patternFill patternType="solid">
        <fgColor theme="5" tint="0.6"/>
        <bgColor indexed="64"/>
      </patternFill>
    </fill>
    <fill>
      <patternFill patternType="solid">
        <fgColor theme="9" tint="0.6"/>
        <bgColor indexed="64"/>
      </patternFill>
    </fill>
    <fill>
      <patternFill patternType="solid">
        <fgColor theme="7" tint="0.4"/>
        <bgColor indexed="64"/>
      </patternFill>
    </fill>
    <fill>
      <patternFill patternType="solid">
        <fgColor theme="5" tint="0.4"/>
        <bgColor indexed="64"/>
      </patternFill>
    </fill>
    <fill>
      <patternFill patternType="solid">
        <fgColor rgb="FFFF0000"/>
        <bgColor indexed="64"/>
      </patternFill>
    </fill>
    <fill>
      <patternFill patternType="solid">
        <fgColor theme="4" tint="0.8"/>
        <bgColor indexed="64"/>
      </patternFill>
    </fill>
    <fill>
      <patternFill patternType="solid">
        <fgColor rgb="FFCDC549"/>
        <bgColor indexed="64"/>
      </patternFill>
    </fill>
    <fill>
      <patternFill patternType="solid">
        <fgColor rgb="FF7030A0"/>
        <bgColor indexed="64"/>
      </patternFill>
    </fill>
    <fill>
      <patternFill patternType="solid">
        <fgColor rgb="FFDD543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15" borderId="2"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 applyNumberFormat="0" applyFill="0" applyAlignment="0" applyProtection="0">
      <alignment vertical="center"/>
    </xf>
    <xf numFmtId="0" fontId="35" fillId="0" borderId="3" applyNumberFormat="0" applyFill="0" applyAlignment="0" applyProtection="0">
      <alignment vertical="center"/>
    </xf>
    <xf numFmtId="0" fontId="36" fillId="0" borderId="4" applyNumberFormat="0" applyFill="0" applyAlignment="0" applyProtection="0">
      <alignment vertical="center"/>
    </xf>
    <xf numFmtId="0" fontId="36" fillId="0" borderId="0" applyNumberFormat="0" applyFill="0" applyBorder="0" applyAlignment="0" applyProtection="0">
      <alignment vertical="center"/>
    </xf>
    <xf numFmtId="0" fontId="37" fillId="16" borderId="5" applyNumberFormat="0" applyAlignment="0" applyProtection="0">
      <alignment vertical="center"/>
    </xf>
    <xf numFmtId="0" fontId="38" fillId="17" borderId="6" applyNumberFormat="0" applyAlignment="0" applyProtection="0">
      <alignment vertical="center"/>
    </xf>
    <xf numFmtId="0" fontId="39" fillId="17" borderId="5" applyNumberFormat="0" applyAlignment="0" applyProtection="0">
      <alignment vertical="center"/>
    </xf>
    <xf numFmtId="0" fontId="40" fillId="18" borderId="7" applyNumberFormat="0" applyAlignment="0" applyProtection="0">
      <alignment vertical="center"/>
    </xf>
    <xf numFmtId="0" fontId="41" fillId="0" borderId="8" applyNumberFormat="0" applyFill="0" applyAlignment="0" applyProtection="0">
      <alignment vertical="center"/>
    </xf>
    <xf numFmtId="0" fontId="42" fillId="0" borderId="9" applyNumberFormat="0" applyFill="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6" fillId="37" borderId="0" applyNumberFormat="0" applyBorder="0" applyAlignment="0" applyProtection="0">
      <alignment vertical="center"/>
    </xf>
    <xf numFmtId="0" fontId="46" fillId="38" borderId="0" applyNumberFormat="0" applyBorder="0" applyAlignment="0" applyProtection="0">
      <alignment vertical="center"/>
    </xf>
    <xf numFmtId="0" fontId="47" fillId="39" borderId="0" applyNumberFormat="0" applyBorder="0" applyAlignment="0" applyProtection="0">
      <alignment vertical="center"/>
    </xf>
    <xf numFmtId="0" fontId="47" fillId="40" borderId="0" applyNumberFormat="0" applyBorder="0" applyAlignment="0" applyProtection="0">
      <alignment vertical="center"/>
    </xf>
    <xf numFmtId="0" fontId="46" fillId="41" borderId="0" applyNumberFormat="0" applyBorder="0" applyAlignment="0" applyProtection="0">
      <alignment vertical="center"/>
    </xf>
    <xf numFmtId="0" fontId="46" fillId="42" borderId="0" applyNumberFormat="0" applyBorder="0" applyAlignment="0" applyProtection="0">
      <alignment vertical="center"/>
    </xf>
    <xf numFmtId="0" fontId="47" fillId="43" borderId="0" applyNumberFormat="0" applyBorder="0" applyAlignment="0" applyProtection="0">
      <alignment vertical="center"/>
    </xf>
    <xf numFmtId="0" fontId="47" fillId="44" borderId="0" applyNumberFormat="0" applyBorder="0" applyAlignment="0" applyProtection="0">
      <alignment vertical="center"/>
    </xf>
    <xf numFmtId="0" fontId="46" fillId="45" borderId="0" applyNumberFormat="0" applyBorder="0" applyAlignment="0" applyProtection="0">
      <alignment vertical="center"/>
    </xf>
  </cellStyleXfs>
  <cellXfs count="103">
    <xf numFmtId="0" fontId="0" fillId="0" borderId="0" xfId="0">
      <alignment vertical="center"/>
    </xf>
    <xf numFmtId="0" fontId="1" fillId="0" borderId="0" xfId="0" applyFont="1" applyFill="1" applyAlignment="1"/>
    <xf numFmtId="0" fontId="2" fillId="0" borderId="0" xfId="0" applyFont="1" applyFill="1" applyBorder="1" applyAlignment="1">
      <alignment horizontal="center" vertical="center" wrapText="1"/>
    </xf>
    <xf numFmtId="0" fontId="0" fillId="0" borderId="0" xfId="0" applyFill="1" applyBorder="1" applyAlignment="1">
      <alignment vertical="center" wrapText="1"/>
    </xf>
    <xf numFmtId="0" fontId="0" fillId="2" borderId="0" xfId="0" applyFill="1" applyBorder="1" applyAlignment="1">
      <alignment vertical="center" wrapText="1"/>
    </xf>
    <xf numFmtId="0" fontId="0" fillId="2" borderId="0" xfId="0" applyFill="1" applyBorder="1" applyAlignment="1">
      <alignment horizontal="center" vertical="center" wrapText="1"/>
    </xf>
    <xf numFmtId="0" fontId="0" fillId="0" borderId="0" xfId="0"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4" fillId="0" borderId="0" xfId="0" applyFont="1" applyFill="1" applyBorder="1" applyAlignment="1">
      <alignment vertical="center" wrapText="1"/>
    </xf>
    <xf numFmtId="0" fontId="5" fillId="2" borderId="0" xfId="0" applyFont="1" applyFill="1" applyBorder="1" applyAlignment="1">
      <alignment vertical="center" wrapText="1"/>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7" fillId="3"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ill="1" applyBorder="1" applyAlignment="1">
      <alignment vertical="center" wrapText="1"/>
    </xf>
    <xf numFmtId="0" fontId="9" fillId="0" borderId="1" xfId="0" applyFont="1" applyFill="1" applyBorder="1" applyAlignment="1">
      <alignment vertical="center"/>
    </xf>
    <xf numFmtId="0" fontId="0" fillId="2" borderId="1" xfId="0" applyFill="1" applyBorder="1" applyAlignment="1">
      <alignment vertical="center" wrapText="1"/>
    </xf>
    <xf numFmtId="0" fontId="9" fillId="2" borderId="1" xfId="0" applyFont="1" applyFill="1" applyBorder="1" applyAlignment="1">
      <alignment vertical="center"/>
    </xf>
    <xf numFmtId="0" fontId="0" fillId="2" borderId="1" xfId="0" applyFill="1" applyBorder="1">
      <alignment vertical="center"/>
    </xf>
    <xf numFmtId="0" fontId="3" fillId="0" borderId="1" xfId="0" applyFont="1" applyFill="1" applyBorder="1" applyAlignment="1">
      <alignment vertical="center" wrapText="1"/>
    </xf>
    <xf numFmtId="0" fontId="10" fillId="0" borderId="1" xfId="0" applyFont="1" applyFill="1" applyBorder="1" applyAlignment="1">
      <alignment vertical="center"/>
    </xf>
    <xf numFmtId="0" fontId="11" fillId="4" borderId="1" xfId="0" applyFont="1" applyFill="1" applyBorder="1" applyAlignment="1">
      <alignment horizontal="center" vertical="center" wrapText="1"/>
    </xf>
    <xf numFmtId="0" fontId="4" fillId="0" borderId="1" xfId="0" applyFont="1" applyFill="1" applyBorder="1" applyAlignment="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4" fillId="5" borderId="1" xfId="0" applyFont="1" applyFill="1" applyBorder="1" applyAlignment="1">
      <alignment vertical="center" wrapText="1"/>
    </xf>
    <xf numFmtId="0" fontId="3" fillId="6" borderId="1" xfId="0" applyFont="1" applyFill="1" applyBorder="1" applyAlignment="1">
      <alignment horizontal="center" vertical="center" wrapText="1"/>
    </xf>
    <xf numFmtId="0" fontId="14" fillId="7"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4" fillId="7" borderId="1" xfId="0" applyFont="1" applyFill="1" applyBorder="1" applyAlignment="1">
      <alignment vertical="center" wrapText="1"/>
    </xf>
    <xf numFmtId="0" fontId="13"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8" fillId="0" borderId="1" xfId="0" applyFont="1" applyFill="1" applyBorder="1" applyAlignment="1">
      <alignment vertical="center" wrapText="1"/>
    </xf>
    <xf numFmtId="0" fontId="17" fillId="8"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9"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1" fillId="2" borderId="1" xfId="0" applyFont="1" applyFill="1" applyBorder="1">
      <alignment vertical="center"/>
    </xf>
    <xf numFmtId="0" fontId="0" fillId="9" borderId="1" xfId="0" applyFill="1" applyBorder="1" applyAlignment="1">
      <alignment horizontal="center" vertical="center" wrapText="1"/>
    </xf>
    <xf numFmtId="0" fontId="3" fillId="9"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0" fillId="10" borderId="1" xfId="0" applyFill="1" applyBorder="1" applyAlignment="1">
      <alignment horizontal="center" vertical="center" wrapText="1"/>
    </xf>
    <xf numFmtId="0" fontId="18" fillId="7" borderId="1" xfId="0" applyFont="1" applyFill="1" applyBorder="1" applyAlignment="1">
      <alignment vertical="center" wrapText="1"/>
    </xf>
    <xf numFmtId="0" fontId="3" fillId="2" borderId="1" xfId="0" applyFont="1" applyFill="1" applyBorder="1" applyAlignment="1">
      <alignment vertical="center" wrapText="1"/>
    </xf>
    <xf numFmtId="0" fontId="0" fillId="11" borderId="1" xfId="0" applyFill="1" applyBorder="1" applyAlignment="1">
      <alignment horizontal="center" vertical="center" wrapText="1"/>
    </xf>
    <xf numFmtId="0" fontId="14" fillId="0" borderId="1"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4" fillId="7" borderId="1" xfId="0" applyFont="1" applyFill="1" applyBorder="1">
      <alignment vertical="center"/>
    </xf>
    <xf numFmtId="0" fontId="4" fillId="12" borderId="1" xfId="0" applyFont="1" applyFill="1" applyBorder="1" applyAlignment="1">
      <alignment vertical="center" wrapText="1"/>
    </xf>
    <xf numFmtId="0" fontId="18" fillId="12" borderId="1" xfId="0" applyFont="1" applyFill="1" applyBorder="1" applyAlignment="1">
      <alignment vertical="center" wrapText="1"/>
    </xf>
    <xf numFmtId="0" fontId="4" fillId="12" borderId="1" xfId="0" applyFont="1" applyFill="1" applyBorder="1">
      <alignment vertical="center"/>
    </xf>
    <xf numFmtId="0" fontId="23" fillId="2" borderId="1" xfId="0" applyFont="1" applyFill="1" applyBorder="1" applyAlignment="1">
      <alignment horizontal="center" vertical="center" wrapText="1"/>
    </xf>
    <xf numFmtId="0" fontId="5" fillId="7" borderId="1" xfId="0" applyFont="1" applyFill="1" applyBorder="1" applyAlignment="1">
      <alignment vertical="center" wrapText="1"/>
    </xf>
    <xf numFmtId="0" fontId="5" fillId="7" borderId="1" xfId="0" applyFont="1" applyFill="1" applyBorder="1">
      <alignment vertical="center"/>
    </xf>
    <xf numFmtId="0" fontId="5" fillId="12" borderId="1" xfId="0" applyFont="1" applyFill="1" applyBorder="1" applyAlignment="1">
      <alignment vertical="center" wrapText="1"/>
    </xf>
    <xf numFmtId="0" fontId="24" fillId="2" borderId="1" xfId="0" applyFont="1" applyFill="1" applyBorder="1" applyAlignment="1">
      <alignment vertical="center"/>
    </xf>
    <xf numFmtId="0" fontId="24" fillId="0" borderId="1" xfId="0" applyFont="1" applyFill="1" applyBorder="1" applyAlignment="1">
      <alignment vertical="center"/>
    </xf>
    <xf numFmtId="0" fontId="5" fillId="0" borderId="1" xfId="0" applyFont="1" applyFill="1" applyBorder="1" applyAlignment="1">
      <alignment vertical="center" wrapText="1"/>
    </xf>
    <xf numFmtId="0" fontId="4" fillId="13" borderId="1" xfId="0" applyFont="1" applyFill="1" applyBorder="1" applyAlignment="1">
      <alignment vertical="center" wrapText="1"/>
    </xf>
    <xf numFmtId="0" fontId="5" fillId="13" borderId="1" xfId="0" applyFont="1" applyFill="1" applyBorder="1">
      <alignment vertical="center"/>
    </xf>
    <xf numFmtId="0" fontId="5" fillId="13" borderId="1" xfId="0" applyFont="1" applyFill="1" applyBorder="1" applyAlignment="1">
      <alignment vertical="center" wrapText="1"/>
    </xf>
    <xf numFmtId="0" fontId="25" fillId="2" borderId="1" xfId="0" applyFont="1" applyFill="1" applyBorder="1" applyAlignment="1">
      <alignment vertical="center"/>
    </xf>
    <xf numFmtId="0" fontId="4" fillId="7" borderId="1" xfId="0" applyFont="1" applyFill="1" applyBorder="1" applyAlignment="1">
      <alignment vertical="center"/>
    </xf>
    <xf numFmtId="0" fontId="25" fillId="0" borderId="1" xfId="0" applyFont="1" applyFill="1" applyBorder="1" applyAlignment="1">
      <alignment vertical="center"/>
    </xf>
    <xf numFmtId="0" fontId="5" fillId="2" borderId="1" xfId="0" applyFont="1" applyFill="1" applyBorder="1" applyAlignment="1">
      <alignment horizontal="center" vertical="center" wrapText="1"/>
    </xf>
    <xf numFmtId="0" fontId="26" fillId="7" borderId="1" xfId="0" applyFont="1" applyFill="1" applyBorder="1" applyAlignment="1">
      <alignment vertical="center" wrapText="1"/>
    </xf>
    <xf numFmtId="0" fontId="3" fillId="10" borderId="0" xfId="0" applyFont="1" applyFill="1">
      <alignment vertical="center"/>
    </xf>
    <xf numFmtId="0" fontId="14" fillId="10" borderId="1" xfId="0" applyFont="1" applyFill="1" applyBorder="1" applyAlignment="1">
      <alignment vertical="center" wrapText="1"/>
    </xf>
    <xf numFmtId="0" fontId="14" fillId="10" borderId="0" xfId="0" applyFont="1" applyFill="1" applyAlignment="1">
      <alignment vertical="center" wrapText="1"/>
    </xf>
    <xf numFmtId="0" fontId="14" fillId="14" borderId="1" xfId="0" applyFont="1" applyFill="1" applyBorder="1" applyAlignment="1">
      <alignment vertical="center" wrapText="1"/>
    </xf>
    <xf numFmtId="0" fontId="27" fillId="7"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7" borderId="1" xfId="0" applyFont="1" applyFill="1" applyBorder="1" applyAlignment="1">
      <alignment vertical="center" wrapText="1"/>
    </xf>
    <xf numFmtId="0" fontId="0" fillId="0" borderId="0" xfId="0" applyFont="1" applyAlignment="1">
      <alignment horizontal="center" vertical="center"/>
    </xf>
    <xf numFmtId="0" fontId="0" fillId="0" borderId="0" xfId="0" applyFont="1" applyFill="1">
      <alignment vertical="center"/>
    </xf>
    <xf numFmtId="0" fontId="0" fillId="0" borderId="0" xfId="0" applyFont="1">
      <alignment vertical="center"/>
    </xf>
    <xf numFmtId="0" fontId="0" fillId="0" borderId="0" xfId="0" applyFont="1" applyAlignment="1">
      <alignment horizontal="left" vertical="center"/>
    </xf>
    <xf numFmtId="0" fontId="28" fillId="0" borderId="0" xfId="0" applyFont="1" applyFill="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left" vertical="center"/>
    </xf>
    <xf numFmtId="0" fontId="0"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lignment vertical="center"/>
    </xf>
    <xf numFmtId="0" fontId="0" fillId="2" borderId="1" xfId="0" applyFill="1" applyBorder="1" applyAlignment="1" quotePrefix="1">
      <alignment vertical="center" wrapText="1"/>
    </xf>
    <xf numFmtId="0" fontId="0" fillId="0" borderId="1" xfId="0" applyFill="1" applyBorder="1" applyAlignment="1" quotePrefix="1">
      <alignment vertical="center" wrapText="1"/>
    </xf>
    <xf numFmtId="0" fontId="13" fillId="0" borderId="1" xfId="0" applyFont="1" applyFill="1" applyBorder="1" applyAlignment="1" quotePrefix="1">
      <alignment horizontal="center" vertical="center" wrapText="1"/>
    </xf>
    <xf numFmtId="0" fontId="15" fillId="0" borderId="1" xfId="0" applyFont="1" applyFill="1" applyBorder="1" applyAlignment="1" quotePrefix="1">
      <alignment horizontal="center" vertical="center" wrapText="1"/>
    </xf>
    <xf numFmtId="0" fontId="16" fillId="0" borderId="1" xfId="0" applyFont="1" applyFill="1" applyBorder="1" applyAlignment="1" quotePrefix="1">
      <alignment horizontal="center" vertical="center" wrapText="1"/>
    </xf>
    <xf numFmtId="0" fontId="13" fillId="2" borderId="1" xfId="0" applyFont="1" applyFill="1" applyBorder="1" applyAlignment="1" quotePrefix="1">
      <alignment horizontal="center" vertical="center" wrapText="1"/>
    </xf>
    <xf numFmtId="0" fontId="16" fillId="2" borderId="1" xfId="0" applyFont="1" applyFill="1" applyBorder="1" applyAlignment="1" quotePrefix="1">
      <alignment horizontal="center" vertical="center" wrapText="1"/>
    </xf>
    <xf numFmtId="0" fontId="15" fillId="2" borderId="1" xfId="0" applyFont="1" applyFill="1" applyBorder="1" applyAlignment="1" quotePrefix="1">
      <alignment horizontal="center" vertical="center" wrapText="1"/>
    </xf>
    <xf numFmtId="0" fontId="21" fillId="2" borderId="1" xfId="0" applyFont="1" applyFill="1" applyBorder="1" quotePrefix="1">
      <alignment vertical="center"/>
    </xf>
    <xf numFmtId="0" fontId="0" fillId="2" borderId="1" xfId="0" applyFill="1" applyBorder="1" applyAlignment="1" quotePrefix="1">
      <alignment horizontal="center" vertical="center" wrapText="1"/>
    </xf>
    <xf numFmtId="0" fontId="3" fillId="2" borderId="1" xfId="0" applyFont="1" applyFill="1" applyBorder="1" applyAlignment="1" quotePrefix="1">
      <alignment horizontal="center" vertical="center" wrapText="1"/>
    </xf>
    <xf numFmtId="0" fontId="0" fillId="0" borderId="1" xfId="0" applyFill="1" applyBorder="1" applyAlignment="1" quotePrefix="1">
      <alignment horizontal="center" vertical="center" wrapText="1"/>
    </xf>
    <xf numFmtId="0" fontId="4" fillId="2" borderId="1" xfId="0" applyFont="1" applyFill="1" applyBorder="1" applyAlignment="1" quotePrefix="1">
      <alignment vertical="center" wrapText="1"/>
    </xf>
    <xf numFmtId="0" fontId="23" fillId="2" borderId="1" xfId="0" applyFont="1" applyFill="1" applyBorder="1" applyAlignment="1" quotePrefix="1">
      <alignment horizontal="center" vertical="center" wrapText="1"/>
    </xf>
    <xf numFmtId="0" fontId="5" fillId="2" borderId="1" xfId="0" applyFont="1" applyFill="1" applyBorder="1" applyAlignment="1" quotePrefix="1">
      <alignment vertical="center" wrapText="1"/>
    </xf>
    <xf numFmtId="0" fontId="4" fillId="0" borderId="1" xfId="0" applyFont="1" applyFill="1" applyBorder="1" applyAlignment="1" quotePrefix="1">
      <alignment vertical="center" wrapText="1"/>
    </xf>
    <xf numFmtId="0" fontId="5" fillId="0" borderId="1" xfId="0" applyFont="1" applyFill="1" applyBorder="1" applyAlignment="1" quotePrefix="1">
      <alignment vertical="center" wrapText="1"/>
    </xf>
    <xf numFmtId="0" fontId="24" fillId="2"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eetMetadata" Target="metadata.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abSelected="1" zoomScaleSheetLayoutView="60" topLeftCell="A15" workbookViewId="0">
      <selection activeCell="B39" sqref="B39"/>
    </sheetView>
  </sheetViews>
  <sheetFormatPr defaultColWidth="9" defaultRowHeight="13.5" outlineLevelCol="2"/>
  <cols>
    <col min="1" max="1" width="5.25" style="95" customWidth="1"/>
    <col min="2" max="2" width="56.1416666666667" style="96" customWidth="1"/>
    <col min="3" max="3" width="16.375" style="95" customWidth="1"/>
    <col min="4" max="16384" width="9" style="95"/>
  </cols>
  <sheetData>
    <row r="1" ht="70" customHeight="1" spans="1:3">
      <c r="A1" s="97" t="s">
        <v>0</v>
      </c>
      <c r="B1" s="97"/>
      <c r="C1" s="97"/>
    </row>
    <row r="2" s="93" customFormat="1" spans="1:3">
      <c r="A2" s="98" t="s">
        <v>1</v>
      </c>
      <c r="B2" s="99" t="s">
        <v>2</v>
      </c>
      <c r="C2" s="100" t="s">
        <v>3</v>
      </c>
    </row>
    <row r="3" s="94" customFormat="1" spans="1:3">
      <c r="A3" s="101">
        <v>1</v>
      </c>
      <c r="B3" s="102" t="s">
        <v>4</v>
      </c>
      <c r="C3" s="102" t="str">
        <f>"66259110590043"</f>
        <v>66259110590043</v>
      </c>
    </row>
    <row r="4" s="94" customFormat="1" spans="1:3">
      <c r="A4" s="101">
        <v>2</v>
      </c>
      <c r="B4" s="102" t="s">
        <v>5</v>
      </c>
      <c r="C4" s="102" t="str">
        <f>"66259110543194"</f>
        <v>66259110543194</v>
      </c>
    </row>
    <row r="5" s="94" customFormat="1" spans="1:3">
      <c r="A5" s="101">
        <v>3</v>
      </c>
      <c r="B5" s="102" t="s">
        <v>6</v>
      </c>
      <c r="C5" s="102" t="str">
        <f>"66259100445992"</f>
        <v>66259100445992</v>
      </c>
    </row>
    <row r="6" s="94" customFormat="1" spans="1:3">
      <c r="A6" s="101">
        <v>4</v>
      </c>
      <c r="B6" s="102" t="s">
        <v>7</v>
      </c>
      <c r="C6" s="102" t="str">
        <f>"66259100369966"</f>
        <v>66259100369966</v>
      </c>
    </row>
    <row r="7" s="94" customFormat="1" spans="1:3">
      <c r="A7" s="101">
        <v>5</v>
      </c>
      <c r="B7" s="102" t="s">
        <v>8</v>
      </c>
      <c r="C7" s="102" t="str">
        <f>"66259100369626"</f>
        <v>66259100369626</v>
      </c>
    </row>
    <row r="8" s="94" customFormat="1" spans="1:3">
      <c r="A8" s="101">
        <v>6</v>
      </c>
      <c r="B8" s="102" t="s">
        <v>9</v>
      </c>
      <c r="C8" s="102" t="str">
        <f>"66259100366990"</f>
        <v>66259100366990</v>
      </c>
    </row>
    <row r="9" s="94" customFormat="1" spans="1:3">
      <c r="A9" s="101">
        <v>7</v>
      </c>
      <c r="B9" s="102" t="s">
        <v>10</v>
      </c>
      <c r="C9" s="102" t="str">
        <f>"661506409984800"</f>
        <v>661506409984800</v>
      </c>
    </row>
    <row r="10" s="94" customFormat="1" spans="1:3">
      <c r="A10" s="101">
        <v>8</v>
      </c>
      <c r="B10" s="102" t="s">
        <v>11</v>
      </c>
      <c r="C10" s="102" t="str">
        <f>"661506409980900"</f>
        <v>661506409980900</v>
      </c>
    </row>
    <row r="11" s="94" customFormat="1" spans="1:3">
      <c r="A11" s="101">
        <v>9</v>
      </c>
      <c r="B11" s="102" t="s">
        <v>12</v>
      </c>
      <c r="C11" s="102" t="str">
        <f>"661506409974800"</f>
        <v>661506409974800</v>
      </c>
    </row>
    <row r="12" s="94" customFormat="1" spans="1:3">
      <c r="A12" s="101">
        <v>10</v>
      </c>
      <c r="B12" s="102" t="s">
        <v>13</v>
      </c>
      <c r="C12" s="102" t="str">
        <f>"661506409969000"</f>
        <v>661506409969000</v>
      </c>
    </row>
    <row r="13" s="94" customFormat="1" spans="1:3">
      <c r="A13" s="101">
        <v>11</v>
      </c>
      <c r="B13" s="102" t="s">
        <v>14</v>
      </c>
      <c r="C13" s="102" t="str">
        <f>"661506409958800"</f>
        <v>661506409958800</v>
      </c>
    </row>
    <row r="14" s="94" customFormat="1" spans="1:3">
      <c r="A14" s="101">
        <v>12</v>
      </c>
      <c r="B14" s="102" t="s">
        <v>15</v>
      </c>
      <c r="C14" s="102" t="str">
        <f>"661506409939200"</f>
        <v>661506409939200</v>
      </c>
    </row>
    <row r="15" s="94" customFormat="1" spans="1:3">
      <c r="A15" s="101">
        <v>13</v>
      </c>
      <c r="B15" s="102" t="s">
        <v>16</v>
      </c>
      <c r="C15" s="102" t="str">
        <f>"661506409939100"</f>
        <v>661506409939100</v>
      </c>
    </row>
    <row r="16" s="94" customFormat="1" spans="1:3">
      <c r="A16" s="101">
        <v>14</v>
      </c>
      <c r="B16" s="102" t="s">
        <v>17</v>
      </c>
      <c r="C16" s="102" t="str">
        <f>"661506409920400"</f>
        <v>661506409920400</v>
      </c>
    </row>
    <row r="17" s="94" customFormat="1" spans="1:3">
      <c r="A17" s="101">
        <v>15</v>
      </c>
      <c r="B17" s="102" t="s">
        <v>18</v>
      </c>
      <c r="C17" s="102" t="str">
        <f>"661506409802600"</f>
        <v>661506409802600</v>
      </c>
    </row>
    <row r="18" s="94" customFormat="1" spans="1:3">
      <c r="A18" s="101">
        <v>16</v>
      </c>
      <c r="B18" s="102" t="s">
        <v>19</v>
      </c>
      <c r="C18" s="102" t="str">
        <f>"661506409792800"</f>
        <v>661506409792800</v>
      </c>
    </row>
    <row r="19" s="94" customFormat="1" spans="1:3">
      <c r="A19" s="101">
        <v>17</v>
      </c>
      <c r="B19" s="102" t="s">
        <v>20</v>
      </c>
      <c r="C19" s="102" t="str">
        <f>"661506409774900"</f>
        <v>661506409774900</v>
      </c>
    </row>
    <row r="20" s="94" customFormat="1" spans="1:3">
      <c r="A20" s="101">
        <v>18</v>
      </c>
      <c r="B20" s="102" t="s">
        <v>21</v>
      </c>
      <c r="C20" s="102" t="str">
        <f>"661506409770600"</f>
        <v>661506409770600</v>
      </c>
    </row>
    <row r="21" s="94" customFormat="1" spans="1:3">
      <c r="A21" s="101">
        <v>19</v>
      </c>
      <c r="B21" s="102" t="s">
        <v>22</v>
      </c>
      <c r="C21" s="102" t="str">
        <f>"661506409750600"</f>
        <v>661506409750600</v>
      </c>
    </row>
    <row r="22" s="94" customFormat="1" spans="1:3">
      <c r="A22" s="101">
        <v>20</v>
      </c>
      <c r="B22" s="102" t="s">
        <v>23</v>
      </c>
      <c r="C22" s="102" t="str">
        <f>"661506409734500"</f>
        <v>661506409734500</v>
      </c>
    </row>
    <row r="23" s="94" customFormat="1" spans="1:3">
      <c r="A23" s="101">
        <v>21</v>
      </c>
      <c r="B23" s="102" t="s">
        <v>24</v>
      </c>
      <c r="C23" s="102" t="str">
        <f>"661506409716600"</f>
        <v>661506409716600</v>
      </c>
    </row>
    <row r="24" s="94" customFormat="1" spans="1:3">
      <c r="A24" s="101">
        <v>22</v>
      </c>
      <c r="B24" s="102" t="s">
        <v>25</v>
      </c>
      <c r="C24" s="102" t="str">
        <f>"661506409662400"</f>
        <v>661506409662400</v>
      </c>
    </row>
    <row r="25" s="94" customFormat="1" spans="1:3">
      <c r="A25" s="101">
        <v>23</v>
      </c>
      <c r="B25" s="102" t="s">
        <v>26</v>
      </c>
      <c r="C25" s="102" t="str">
        <f>"661506409648400"</f>
        <v>661506409648400</v>
      </c>
    </row>
    <row r="26" s="94" customFormat="1" spans="1:3">
      <c r="A26" s="101">
        <v>24</v>
      </c>
      <c r="B26" s="102" t="s">
        <v>27</v>
      </c>
      <c r="C26" s="102" t="str">
        <f>"661506409635100"</f>
        <v>661506409635100</v>
      </c>
    </row>
    <row r="27" s="94" customFormat="1" spans="1:3">
      <c r="A27" s="101">
        <v>25</v>
      </c>
      <c r="B27" s="102" t="s">
        <v>28</v>
      </c>
      <c r="C27" s="102" t="str">
        <f>"661506409552700"</f>
        <v>661506409552700</v>
      </c>
    </row>
    <row r="28" s="94" customFormat="1" spans="1:3">
      <c r="A28" s="101">
        <v>26</v>
      </c>
      <c r="B28" s="102" t="s">
        <v>29</v>
      </c>
      <c r="C28" s="102" t="str">
        <f>"661506409454400"</f>
        <v>661506409454400</v>
      </c>
    </row>
    <row r="29" s="94" customFormat="1" spans="1:3">
      <c r="A29" s="101">
        <v>27</v>
      </c>
      <c r="B29" s="102" t="s">
        <v>30</v>
      </c>
      <c r="C29" s="102" t="str">
        <f>"661506409128700"</f>
        <v>661506409128700</v>
      </c>
    </row>
    <row r="30" s="94" customFormat="1" spans="1:3">
      <c r="A30" s="101">
        <v>28</v>
      </c>
      <c r="B30" s="102" t="s">
        <v>31</v>
      </c>
      <c r="C30" s="102" t="str">
        <f>"661506409122600"</f>
        <v>661506409122600</v>
      </c>
    </row>
    <row r="31" s="94" customFormat="1" spans="1:3">
      <c r="A31" s="101">
        <v>29</v>
      </c>
      <c r="B31" s="102" t="s">
        <v>32</v>
      </c>
      <c r="C31" s="102" t="str">
        <f>"661506409076600"</f>
        <v>661506409076600</v>
      </c>
    </row>
    <row r="32" s="94" customFormat="1" spans="1:3">
      <c r="A32" s="101">
        <v>30</v>
      </c>
      <c r="B32" s="102" t="s">
        <v>33</v>
      </c>
      <c r="C32" s="102" t="str">
        <f>"661506409066600"</f>
        <v>661506409066600</v>
      </c>
    </row>
    <row r="33" s="94" customFormat="1" spans="1:3">
      <c r="A33" s="101">
        <v>31</v>
      </c>
      <c r="B33" s="102" t="s">
        <v>34</v>
      </c>
      <c r="C33" s="102" t="str">
        <f>"661506409064400"</f>
        <v>661506409064400</v>
      </c>
    </row>
    <row r="34" s="94" customFormat="1" spans="1:3">
      <c r="A34" s="101">
        <v>32</v>
      </c>
      <c r="B34" s="102" t="s">
        <v>35</v>
      </c>
      <c r="C34" s="102" t="str">
        <f>"661506409062600"</f>
        <v>661506409062600</v>
      </c>
    </row>
    <row r="35" s="94" customFormat="1" spans="1:3">
      <c r="A35" s="101">
        <v>33</v>
      </c>
      <c r="B35" s="102" t="s">
        <v>36</v>
      </c>
      <c r="C35" s="102" t="str">
        <f>"661506408960500"</f>
        <v>661506408960500</v>
      </c>
    </row>
    <row r="36" s="94" customFormat="1" spans="1:3">
      <c r="A36" s="101">
        <v>34</v>
      </c>
      <c r="B36" s="102" t="s">
        <v>37</v>
      </c>
      <c r="C36" s="102" t="str">
        <f>"661506408920500"</f>
        <v>661506408920500</v>
      </c>
    </row>
    <row r="37" s="94" customFormat="1" spans="1:3">
      <c r="A37" s="101">
        <v>35</v>
      </c>
      <c r="B37" s="102" t="s">
        <v>38</v>
      </c>
      <c r="C37" s="102" t="str">
        <f>"661506408918700"</f>
        <v>661506408918700</v>
      </c>
    </row>
    <row r="38" s="94" customFormat="1" spans="1:3">
      <c r="A38" s="101">
        <v>36</v>
      </c>
      <c r="B38" s="102" t="s">
        <v>39</v>
      </c>
      <c r="C38" s="102" t="str">
        <f>"661506408910800"</f>
        <v>661506408910800</v>
      </c>
    </row>
    <row r="39" spans="1:3">
      <c r="A39" s="101">
        <v>37</v>
      </c>
      <c r="B39" s="102" t="s">
        <v>40</v>
      </c>
      <c r="C39" s="102" t="str">
        <f>"661506408908500"</f>
        <v>661506408908500</v>
      </c>
    </row>
    <row r="40" spans="1:3">
      <c r="A40" s="101">
        <v>38</v>
      </c>
      <c r="B40" s="102" t="s">
        <v>41</v>
      </c>
      <c r="C40" s="102" t="str">
        <f>"661506408906400"</f>
        <v>661506408906400</v>
      </c>
    </row>
  </sheetData>
  <mergeCells count="1">
    <mergeCell ref="A1:C1"/>
  </mergeCells>
  <pageMargins left="0.708333333333333" right="0.75" top="0.275" bottom="0.275" header="0.156944444444444" footer="0.078472222222222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WBW1048576"/>
  <sheetViews>
    <sheetView workbookViewId="0">
      <selection activeCell="A89" sqref="A89"/>
    </sheetView>
  </sheetViews>
  <sheetFormatPr defaultColWidth="9" defaultRowHeight="13.5"/>
  <cols>
    <col min="1" max="1" width="28.125" style="12" customWidth="1"/>
    <col min="2" max="2" width="9" style="13"/>
    <col min="3" max="3" width="9" style="12"/>
    <col min="4" max="5" width="9" style="10"/>
    <col min="6" max="6" width="9" style="12"/>
    <col min="7" max="7" width="9" style="10"/>
    <col min="8" max="12" width="9" style="12"/>
    <col min="13" max="13" width="9" style="10"/>
    <col min="14" max="15" width="9" style="14"/>
    <col min="16" max="16373" width="9" style="12"/>
  </cols>
  <sheetData>
    <row r="1" s="1" customFormat="1" ht="33" customHeight="1" spans="1:16">
      <c r="A1" s="15"/>
      <c r="B1" s="15"/>
      <c r="C1" s="15"/>
      <c r="D1" s="15"/>
      <c r="E1" s="15"/>
      <c r="F1" s="15"/>
      <c r="G1" s="15"/>
      <c r="H1" s="15"/>
      <c r="I1" s="15"/>
      <c r="J1" s="15"/>
      <c r="K1" s="15"/>
      <c r="L1" s="15"/>
      <c r="M1" s="15"/>
      <c r="N1" s="15"/>
      <c r="O1" s="15"/>
      <c r="P1" s="15"/>
    </row>
    <row r="2" s="2" customFormat="1" ht="24" spans="1:16">
      <c r="A2" s="16" t="s">
        <v>2</v>
      </c>
      <c r="B2" s="17" t="s">
        <v>42</v>
      </c>
      <c r="C2" s="16" t="s">
        <v>43</v>
      </c>
      <c r="D2" s="16" t="s">
        <v>44</v>
      </c>
      <c r="E2" s="16" t="s">
        <v>45</v>
      </c>
      <c r="F2" s="16" t="s">
        <v>46</v>
      </c>
      <c r="G2" s="16" t="s">
        <v>47</v>
      </c>
      <c r="H2" s="16" t="s">
        <v>48</v>
      </c>
      <c r="I2" s="16" t="s">
        <v>49</v>
      </c>
      <c r="J2" s="16" t="s">
        <v>50</v>
      </c>
      <c r="K2" s="16" t="s">
        <v>51</v>
      </c>
      <c r="L2" s="16" t="s">
        <v>52</v>
      </c>
      <c r="M2" s="16" t="s">
        <v>53</v>
      </c>
      <c r="N2" s="16" t="s">
        <v>54</v>
      </c>
      <c r="O2" s="16" t="s">
        <v>55</v>
      </c>
      <c r="P2" s="16" t="s">
        <v>56</v>
      </c>
    </row>
    <row r="3" s="3" customFormat="1" ht="27" hidden="1" customHeight="1" spans="1:17">
      <c r="A3" s="18" t="s">
        <v>6</v>
      </c>
      <c r="B3" s="19" t="s">
        <v>57</v>
      </c>
      <c r="C3" s="18" t="str">
        <f>"66259100445992"</f>
        <v>66259100445992</v>
      </c>
      <c r="D3" s="18" t="s">
        <v>58</v>
      </c>
      <c r="E3" s="18" t="s">
        <v>59</v>
      </c>
      <c r="F3" s="18">
        <v>13847708198</v>
      </c>
      <c r="G3" s="18" t="s">
        <v>60</v>
      </c>
      <c r="H3" s="18" t="s">
        <v>61</v>
      </c>
      <c r="I3" s="18" t="s">
        <v>62</v>
      </c>
      <c r="J3" s="18" t="s">
        <v>63</v>
      </c>
      <c r="K3" s="18" t="s">
        <v>64</v>
      </c>
      <c r="L3" s="18" t="s">
        <v>65</v>
      </c>
      <c r="M3" s="18">
        <v>0.6</v>
      </c>
      <c r="N3" s="25" t="s">
        <v>66</v>
      </c>
      <c r="O3" s="25" t="s">
        <v>67</v>
      </c>
      <c r="P3" s="26" t="s">
        <v>68</v>
      </c>
      <c r="Q3" s="3" cm="1">
        <f t="array" ref="Q3:Q467">IF(MATCH(A3:A467,'公示名单（免申即享）第一批'!B3:B3727,0)&gt;0,1,0)</f>
        <v>1</v>
      </c>
    </row>
    <row r="4" s="4" customFormat="1" ht="27" hidden="1" customHeight="1" spans="1:17">
      <c r="A4" s="20" t="s">
        <v>7</v>
      </c>
      <c r="B4" s="21" t="s">
        <v>69</v>
      </c>
      <c r="C4" s="20" t="str">
        <f>"66259100369966"</f>
        <v>66259100369966</v>
      </c>
      <c r="D4" s="20" t="s">
        <v>58</v>
      </c>
      <c r="E4" s="20" t="s">
        <v>70</v>
      </c>
      <c r="F4" s="20" t="s">
        <v>71</v>
      </c>
      <c r="G4" s="20" t="s">
        <v>60</v>
      </c>
      <c r="H4" s="20" t="s">
        <v>72</v>
      </c>
      <c r="I4" s="20" t="s">
        <v>73</v>
      </c>
      <c r="J4" s="20" t="s">
        <v>74</v>
      </c>
      <c r="K4" s="20" t="s">
        <v>75</v>
      </c>
      <c r="L4" s="20" t="s">
        <v>76</v>
      </c>
      <c r="M4" s="20">
        <v>0.6</v>
      </c>
      <c r="N4" s="27" t="s">
        <v>66</v>
      </c>
      <c r="O4" s="27" t="s">
        <v>66</v>
      </c>
      <c r="P4" s="26" t="s">
        <v>66</v>
      </c>
      <c r="Q4" s="4">
        <v>1</v>
      </c>
    </row>
    <row r="5" s="4" customFormat="1" ht="27" hidden="1" customHeight="1" spans="1:17">
      <c r="A5" s="20" t="s">
        <v>10</v>
      </c>
      <c r="B5" s="21" t="s">
        <v>77</v>
      </c>
      <c r="C5" s="20" t="str">
        <f>"661506409984800"</f>
        <v>661506409984800</v>
      </c>
      <c r="D5" s="20" t="s">
        <v>58</v>
      </c>
      <c r="E5" s="20" t="s">
        <v>78</v>
      </c>
      <c r="F5" s="20"/>
      <c r="G5" s="20" t="s">
        <v>60</v>
      </c>
      <c r="H5" s="20" t="s">
        <v>79</v>
      </c>
      <c r="I5" s="20"/>
      <c r="J5" s="20" t="s">
        <v>80</v>
      </c>
      <c r="K5" s="20" t="s">
        <v>81</v>
      </c>
      <c r="L5" s="20" t="s">
        <v>82</v>
      </c>
      <c r="M5" s="20">
        <v>0.6</v>
      </c>
      <c r="N5" s="27" t="s">
        <v>66</v>
      </c>
      <c r="O5" s="27" t="s">
        <v>66</v>
      </c>
      <c r="P5" s="26" t="s">
        <v>66</v>
      </c>
      <c r="Q5" s="4">
        <v>1</v>
      </c>
    </row>
    <row r="6" s="4" customFormat="1" ht="27" hidden="1" customHeight="1" spans="1:17">
      <c r="A6" s="20" t="s">
        <v>83</v>
      </c>
      <c r="B6" s="21" t="s">
        <v>84</v>
      </c>
      <c r="C6" s="20" t="str">
        <f>"661506409984500"</f>
        <v>661506409984500</v>
      </c>
      <c r="D6" s="20" t="s">
        <v>58</v>
      </c>
      <c r="E6" s="20" t="s">
        <v>85</v>
      </c>
      <c r="F6" s="20" t="s">
        <v>86</v>
      </c>
      <c r="G6" s="20" t="s">
        <v>60</v>
      </c>
      <c r="H6" s="20" t="s">
        <v>87</v>
      </c>
      <c r="I6" s="103" t="s">
        <v>88</v>
      </c>
      <c r="J6" s="20" t="s">
        <v>80</v>
      </c>
      <c r="K6" s="20" t="s">
        <v>89</v>
      </c>
      <c r="L6" s="20" t="s">
        <v>90</v>
      </c>
      <c r="M6" s="20">
        <v>0.6</v>
      </c>
      <c r="N6" s="27" t="s">
        <v>66</v>
      </c>
      <c r="O6" s="27" t="s">
        <v>66</v>
      </c>
      <c r="P6" s="26" t="s">
        <v>66</v>
      </c>
      <c r="Q6" s="4" t="e">
        <v>#N/A</v>
      </c>
    </row>
    <row r="7" s="4" customFormat="1" ht="27" hidden="1" customHeight="1" spans="1:17">
      <c r="A7" s="20" t="s">
        <v>11</v>
      </c>
      <c r="B7" s="21" t="s">
        <v>91</v>
      </c>
      <c r="C7" s="20" t="str">
        <f>"661506409980900"</f>
        <v>661506409980900</v>
      </c>
      <c r="D7" s="20" t="s">
        <v>58</v>
      </c>
      <c r="E7" s="20" t="s">
        <v>92</v>
      </c>
      <c r="F7" s="20" t="s">
        <v>93</v>
      </c>
      <c r="G7" s="20" t="s">
        <v>60</v>
      </c>
      <c r="H7" s="20" t="s">
        <v>94</v>
      </c>
      <c r="I7" s="20" t="s">
        <v>95</v>
      </c>
      <c r="J7" s="20" t="s">
        <v>96</v>
      </c>
      <c r="K7" s="20" t="s">
        <v>97</v>
      </c>
      <c r="L7" s="20" t="s">
        <v>98</v>
      </c>
      <c r="M7" s="20">
        <v>0.6</v>
      </c>
      <c r="N7" s="27" t="s">
        <v>66</v>
      </c>
      <c r="O7" s="27" t="s">
        <v>66</v>
      </c>
      <c r="P7" s="26" t="s">
        <v>66</v>
      </c>
      <c r="Q7" s="4">
        <v>1</v>
      </c>
    </row>
    <row r="8" s="3" customFormat="1" ht="27" customHeight="1" spans="1:17">
      <c r="A8" s="18" t="s">
        <v>99</v>
      </c>
      <c r="B8" s="19" t="s">
        <v>100</v>
      </c>
      <c r="C8" s="18" t="str">
        <f>"661506409978400"</f>
        <v>661506409978400</v>
      </c>
      <c r="D8" s="18" t="s">
        <v>58</v>
      </c>
      <c r="E8" s="18" t="s">
        <v>101</v>
      </c>
      <c r="F8" s="18" t="s">
        <v>102</v>
      </c>
      <c r="G8" s="18" t="s">
        <v>60</v>
      </c>
      <c r="H8" s="18" t="s">
        <v>103</v>
      </c>
      <c r="I8" s="104" t="s">
        <v>104</v>
      </c>
      <c r="J8" s="18" t="s">
        <v>105</v>
      </c>
      <c r="K8" s="18" t="s">
        <v>106</v>
      </c>
      <c r="L8" s="18" t="s">
        <v>107</v>
      </c>
      <c r="M8" s="18">
        <v>0.6</v>
      </c>
      <c r="N8" s="28" t="s">
        <v>66</v>
      </c>
      <c r="O8" s="28" t="s">
        <v>66</v>
      </c>
      <c r="P8" s="26" t="s">
        <v>66</v>
      </c>
      <c r="Q8" s="3" t="e">
        <v>#N/A</v>
      </c>
    </row>
    <row r="9" s="3" customFormat="1" ht="27" hidden="1" customHeight="1" spans="1:17">
      <c r="A9" s="18" t="s">
        <v>12</v>
      </c>
      <c r="B9" s="19" t="s">
        <v>108</v>
      </c>
      <c r="C9" s="18" t="str">
        <f>"661506409974800"</f>
        <v>661506409974800</v>
      </c>
      <c r="D9" s="18" t="s">
        <v>58</v>
      </c>
      <c r="E9" s="18" t="s">
        <v>109</v>
      </c>
      <c r="F9" s="18" t="s">
        <v>110</v>
      </c>
      <c r="G9" s="18" t="s">
        <v>60</v>
      </c>
      <c r="H9" s="18" t="s">
        <v>111</v>
      </c>
      <c r="I9" s="105" t="s">
        <v>112</v>
      </c>
      <c r="J9" s="18" t="s">
        <v>80</v>
      </c>
      <c r="K9" s="18" t="s">
        <v>113</v>
      </c>
      <c r="L9" s="18" t="s">
        <v>114</v>
      </c>
      <c r="M9" s="18">
        <v>0.6</v>
      </c>
      <c r="N9" s="30" t="s">
        <v>115</v>
      </c>
      <c r="O9" s="30" t="s">
        <v>116</v>
      </c>
      <c r="P9" s="26" t="s">
        <v>68</v>
      </c>
      <c r="Q9" s="3">
        <v>1</v>
      </c>
    </row>
    <row r="10" s="3" customFormat="1" ht="27" hidden="1" customHeight="1" spans="1:17">
      <c r="A10" s="18" t="s">
        <v>117</v>
      </c>
      <c r="B10" s="19" t="s">
        <v>118</v>
      </c>
      <c r="C10" s="18" t="str">
        <f>"661506409972500"</f>
        <v>661506409972500</v>
      </c>
      <c r="D10" s="18" t="s">
        <v>58</v>
      </c>
      <c r="E10" s="18"/>
      <c r="F10" s="18" t="s">
        <v>119</v>
      </c>
      <c r="G10" s="18" t="s">
        <v>60</v>
      </c>
      <c r="H10" s="18" t="s">
        <v>120</v>
      </c>
      <c r="I10" s="105" t="s">
        <v>121</v>
      </c>
      <c r="J10" s="18" t="s">
        <v>80</v>
      </c>
      <c r="K10" s="18" t="s">
        <v>122</v>
      </c>
      <c r="L10" s="18" t="s">
        <v>123</v>
      </c>
      <c r="M10" s="18">
        <v>0.6</v>
      </c>
      <c r="N10" s="28" t="s">
        <v>66</v>
      </c>
      <c r="O10" s="28" t="s">
        <v>66</v>
      </c>
      <c r="P10" s="26" t="s">
        <v>66</v>
      </c>
      <c r="Q10" s="3" t="e">
        <v>#N/A</v>
      </c>
    </row>
    <row r="11" s="3" customFormat="1" ht="27" hidden="1" customHeight="1" spans="1:17">
      <c r="A11" s="18" t="s">
        <v>13</v>
      </c>
      <c r="B11" s="19" t="s">
        <v>124</v>
      </c>
      <c r="C11" s="18" t="str">
        <f>"661506409969000"</f>
        <v>661506409969000</v>
      </c>
      <c r="D11" s="18" t="s">
        <v>58</v>
      </c>
      <c r="E11" s="18"/>
      <c r="F11" s="18" t="s">
        <v>125</v>
      </c>
      <c r="G11" s="18" t="s">
        <v>60</v>
      </c>
      <c r="H11" s="18" t="s">
        <v>126</v>
      </c>
      <c r="I11" s="105" t="s">
        <v>127</v>
      </c>
      <c r="J11" s="18" t="s">
        <v>128</v>
      </c>
      <c r="K11" s="18" t="s">
        <v>129</v>
      </c>
      <c r="L11" s="18" t="s">
        <v>130</v>
      </c>
      <c r="M11" s="18">
        <v>0.6</v>
      </c>
      <c r="N11" s="30" t="s">
        <v>115</v>
      </c>
      <c r="O11" s="30" t="s">
        <v>116</v>
      </c>
      <c r="P11" s="26" t="s">
        <v>68</v>
      </c>
      <c r="Q11" s="3">
        <v>1</v>
      </c>
    </row>
    <row r="12" s="4" customFormat="1" ht="27" customHeight="1" spans="1:17">
      <c r="A12" s="18" t="s">
        <v>14</v>
      </c>
      <c r="B12" s="19" t="s">
        <v>131</v>
      </c>
      <c r="C12" s="18" t="str">
        <f>"661506409958800"</f>
        <v>661506409958800</v>
      </c>
      <c r="D12" s="20" t="s">
        <v>58</v>
      </c>
      <c r="E12" s="20" t="s">
        <v>132</v>
      </c>
      <c r="F12" s="20" t="s">
        <v>133</v>
      </c>
      <c r="G12" s="20" t="s">
        <v>60</v>
      </c>
      <c r="H12" s="20" t="s">
        <v>134</v>
      </c>
      <c r="I12" s="20" t="s">
        <v>135</v>
      </c>
      <c r="J12" s="20" t="s">
        <v>136</v>
      </c>
      <c r="K12" s="20" t="s">
        <v>137</v>
      </c>
      <c r="L12" s="20" t="s">
        <v>138</v>
      </c>
      <c r="M12" s="20">
        <v>0.6</v>
      </c>
      <c r="N12" s="27" t="s">
        <v>66</v>
      </c>
      <c r="O12" s="27" t="s">
        <v>66</v>
      </c>
      <c r="P12" s="26" t="s">
        <v>66</v>
      </c>
      <c r="Q12" s="4">
        <v>1</v>
      </c>
    </row>
    <row r="13" s="3" customFormat="1" ht="27" hidden="1" customHeight="1" spans="1:17">
      <c r="A13" s="18" t="s">
        <v>139</v>
      </c>
      <c r="B13" s="19" t="s">
        <v>140</v>
      </c>
      <c r="C13" s="18" t="str">
        <f>"661506409958500"</f>
        <v>661506409958500</v>
      </c>
      <c r="D13" s="18" t="s">
        <v>58</v>
      </c>
      <c r="E13" s="18" t="s">
        <v>141</v>
      </c>
      <c r="F13" s="18" t="s">
        <v>142</v>
      </c>
      <c r="G13" s="18" t="s">
        <v>143</v>
      </c>
      <c r="H13" s="18" t="s">
        <v>144</v>
      </c>
      <c r="I13" s="104" t="s">
        <v>145</v>
      </c>
      <c r="J13" s="18" t="s">
        <v>146</v>
      </c>
      <c r="K13" s="18" t="s">
        <v>147</v>
      </c>
      <c r="L13" s="18" t="s">
        <v>148</v>
      </c>
      <c r="M13" s="18">
        <v>0.6</v>
      </c>
      <c r="N13" s="30" t="s">
        <v>116</v>
      </c>
      <c r="O13" s="30" t="s">
        <v>115</v>
      </c>
      <c r="P13" s="26" t="s">
        <v>68</v>
      </c>
      <c r="Q13" s="3" t="e">
        <v>#N/A</v>
      </c>
    </row>
    <row r="14" s="4" customFormat="1" ht="27" hidden="1" customHeight="1" spans="1:17">
      <c r="A14" s="20" t="s">
        <v>149</v>
      </c>
      <c r="B14" s="21" t="s">
        <v>150</v>
      </c>
      <c r="C14" s="20" t="str">
        <f>"661506409953200"</f>
        <v>661506409953200</v>
      </c>
      <c r="D14" s="20" t="s">
        <v>58</v>
      </c>
      <c r="E14" s="20" t="s">
        <v>151</v>
      </c>
      <c r="F14" s="20" t="s">
        <v>152</v>
      </c>
      <c r="G14" s="20" t="s">
        <v>143</v>
      </c>
      <c r="H14" s="20" t="s">
        <v>153</v>
      </c>
      <c r="I14" s="20" t="s">
        <v>154</v>
      </c>
      <c r="J14" s="20" t="s">
        <v>128</v>
      </c>
      <c r="K14" s="20" t="s">
        <v>155</v>
      </c>
      <c r="L14" s="20" t="s">
        <v>156</v>
      </c>
      <c r="M14" s="20">
        <v>0.6</v>
      </c>
      <c r="N14" s="27" t="s">
        <v>66</v>
      </c>
      <c r="O14" s="27" t="s">
        <v>66</v>
      </c>
      <c r="P14" s="31" t="s">
        <v>66</v>
      </c>
      <c r="Q14" s="4" t="e">
        <v>#N/A</v>
      </c>
    </row>
    <row r="15" s="3" customFormat="1" ht="27" customHeight="1" spans="1:17">
      <c r="A15" s="18" t="s">
        <v>157</v>
      </c>
      <c r="B15" s="19" t="s">
        <v>158</v>
      </c>
      <c r="C15" s="18" t="str">
        <f>"661506409939600"</f>
        <v>661506409939600</v>
      </c>
      <c r="D15" s="18" t="s">
        <v>58</v>
      </c>
      <c r="E15" s="18"/>
      <c r="F15" s="18" t="s">
        <v>159</v>
      </c>
      <c r="G15" s="18" t="s">
        <v>60</v>
      </c>
      <c r="H15" s="18" t="s">
        <v>153</v>
      </c>
      <c r="I15" s="105" t="s">
        <v>160</v>
      </c>
      <c r="J15" s="18" t="s">
        <v>105</v>
      </c>
      <c r="K15" s="18" t="s">
        <v>161</v>
      </c>
      <c r="L15" s="18" t="s">
        <v>162</v>
      </c>
      <c r="M15" s="18">
        <v>0.6</v>
      </c>
      <c r="N15" s="32" t="s">
        <v>66</v>
      </c>
      <c r="O15" s="32" t="s">
        <v>66</v>
      </c>
      <c r="P15" s="33" t="s">
        <v>163</v>
      </c>
      <c r="Q15" s="3" t="e">
        <v>#N/A</v>
      </c>
    </row>
    <row r="16" s="3" customFormat="1" ht="27" customHeight="1" spans="1:17">
      <c r="A16" s="18" t="s">
        <v>164</v>
      </c>
      <c r="B16" s="19" t="s">
        <v>165</v>
      </c>
      <c r="C16" s="18" t="str">
        <f>"661506409939500"</f>
        <v>661506409939500</v>
      </c>
      <c r="D16" s="18" t="s">
        <v>58</v>
      </c>
      <c r="E16" s="18"/>
      <c r="F16" s="18" t="s">
        <v>166</v>
      </c>
      <c r="G16" s="18" t="s">
        <v>60</v>
      </c>
      <c r="H16" s="18" t="s">
        <v>167</v>
      </c>
      <c r="I16" s="106" t="s">
        <v>168</v>
      </c>
      <c r="J16" s="18" t="s">
        <v>80</v>
      </c>
      <c r="K16" s="18" t="s">
        <v>169</v>
      </c>
      <c r="L16" s="18" t="s">
        <v>170</v>
      </c>
      <c r="M16" s="18">
        <v>0.6</v>
      </c>
      <c r="N16" s="28" t="s">
        <v>66</v>
      </c>
      <c r="O16" s="28" t="s">
        <v>66</v>
      </c>
      <c r="P16" s="26" t="s">
        <v>66</v>
      </c>
      <c r="Q16" s="3" t="e">
        <v>#N/A</v>
      </c>
    </row>
    <row r="17" s="3" customFormat="1" ht="27" hidden="1" customHeight="1" spans="1:17">
      <c r="A17" s="18" t="s">
        <v>15</v>
      </c>
      <c r="B17" s="19" t="s">
        <v>171</v>
      </c>
      <c r="C17" s="18" t="str">
        <f>"661506409939200"</f>
        <v>661506409939200</v>
      </c>
      <c r="D17" s="18" t="s">
        <v>58</v>
      </c>
      <c r="E17" s="18" t="s">
        <v>172</v>
      </c>
      <c r="F17" s="18" t="s">
        <v>173</v>
      </c>
      <c r="G17" s="18" t="s">
        <v>143</v>
      </c>
      <c r="H17" s="18" t="s">
        <v>174</v>
      </c>
      <c r="I17" s="107" t="s">
        <v>175</v>
      </c>
      <c r="J17" s="18" t="s">
        <v>176</v>
      </c>
      <c r="K17" s="18" t="s">
        <v>161</v>
      </c>
      <c r="L17" s="18" t="s">
        <v>162</v>
      </c>
      <c r="M17" s="18">
        <v>0.6</v>
      </c>
      <c r="N17" s="30" t="s">
        <v>116</v>
      </c>
      <c r="O17" s="6" t="s">
        <v>177</v>
      </c>
      <c r="P17" s="26" t="s">
        <v>68</v>
      </c>
      <c r="Q17" s="3">
        <v>1</v>
      </c>
    </row>
    <row r="18" s="4" customFormat="1" ht="27" hidden="1" customHeight="1" spans="1:17">
      <c r="A18" s="20" t="s">
        <v>16</v>
      </c>
      <c r="B18" s="21" t="s">
        <v>178</v>
      </c>
      <c r="C18" s="20" t="str">
        <f>"661506409939100"</f>
        <v>661506409939100</v>
      </c>
      <c r="D18" s="20" t="s">
        <v>58</v>
      </c>
      <c r="E18" s="20"/>
      <c r="F18" s="20">
        <v>15661755888</v>
      </c>
      <c r="G18" s="22"/>
      <c r="H18" s="22"/>
      <c r="I18" s="20"/>
      <c r="J18" s="22"/>
      <c r="K18" s="22">
        <v>600</v>
      </c>
      <c r="L18" s="20" t="s">
        <v>90</v>
      </c>
      <c r="M18" s="20">
        <v>0.6</v>
      </c>
      <c r="N18" s="36" t="s">
        <v>66</v>
      </c>
      <c r="O18" s="36" t="s">
        <v>66</v>
      </c>
      <c r="P18" s="37" t="s">
        <v>179</v>
      </c>
      <c r="Q18" s="4">
        <v>1</v>
      </c>
    </row>
    <row r="19" s="4" customFormat="1" ht="27" hidden="1" customHeight="1" spans="1:17">
      <c r="A19" s="18" t="s">
        <v>180</v>
      </c>
      <c r="B19" s="19" t="s">
        <v>181</v>
      </c>
      <c r="C19" s="18" t="str">
        <f>"661506409938900"</f>
        <v>661506409938900</v>
      </c>
      <c r="D19" s="20" t="s">
        <v>58</v>
      </c>
      <c r="E19" s="20" t="s">
        <v>182</v>
      </c>
      <c r="F19" s="20" t="s">
        <v>183</v>
      </c>
      <c r="G19" s="20" t="s">
        <v>143</v>
      </c>
      <c r="H19" s="20" t="s">
        <v>153</v>
      </c>
      <c r="I19" s="108" t="s">
        <v>184</v>
      </c>
      <c r="J19" s="20" t="s">
        <v>128</v>
      </c>
      <c r="K19" s="20" t="s">
        <v>185</v>
      </c>
      <c r="L19" s="20" t="s">
        <v>169</v>
      </c>
      <c r="M19" s="20">
        <v>0.6</v>
      </c>
      <c r="N19" s="27" t="s">
        <v>66</v>
      </c>
      <c r="O19" s="27" t="s">
        <v>66</v>
      </c>
      <c r="P19" s="26" t="s">
        <v>66</v>
      </c>
      <c r="Q19" s="4" t="e">
        <v>#N/A</v>
      </c>
    </row>
    <row r="20" s="4" customFormat="1" ht="27" hidden="1" customHeight="1" spans="1:17">
      <c r="A20" s="18" t="s">
        <v>17</v>
      </c>
      <c r="B20" s="19" t="s">
        <v>186</v>
      </c>
      <c r="C20" s="18" t="str">
        <f>"661506409920400"</f>
        <v>661506409920400</v>
      </c>
      <c r="D20" s="20" t="s">
        <v>58</v>
      </c>
      <c r="E20" s="20" t="s">
        <v>187</v>
      </c>
      <c r="F20" s="20" t="s">
        <v>188</v>
      </c>
      <c r="G20" s="20" t="s">
        <v>60</v>
      </c>
      <c r="H20" s="20" t="s">
        <v>189</v>
      </c>
      <c r="I20" s="103" t="s">
        <v>190</v>
      </c>
      <c r="J20" s="20" t="s">
        <v>191</v>
      </c>
      <c r="K20" s="20" t="s">
        <v>192</v>
      </c>
      <c r="L20" s="20" t="s">
        <v>193</v>
      </c>
      <c r="M20" s="20">
        <v>0.6</v>
      </c>
      <c r="N20" s="27" t="s">
        <v>66</v>
      </c>
      <c r="O20" s="27" t="s">
        <v>66</v>
      </c>
      <c r="P20" s="26" t="s">
        <v>66</v>
      </c>
      <c r="Q20" s="4">
        <v>1</v>
      </c>
    </row>
    <row r="21" s="4" customFormat="1" ht="27" hidden="1" customHeight="1" spans="1:17">
      <c r="A21" s="18" t="s">
        <v>18</v>
      </c>
      <c r="B21" s="19" t="s">
        <v>194</v>
      </c>
      <c r="C21" s="18" t="str">
        <f>"661506409802600"</f>
        <v>661506409802600</v>
      </c>
      <c r="D21" s="20" t="s">
        <v>58</v>
      </c>
      <c r="E21" s="20" t="s">
        <v>195</v>
      </c>
      <c r="F21" s="20" t="s">
        <v>196</v>
      </c>
      <c r="G21" s="20" t="s">
        <v>60</v>
      </c>
      <c r="H21" s="20" t="s">
        <v>197</v>
      </c>
      <c r="I21" s="20" t="s">
        <v>198</v>
      </c>
      <c r="J21" s="20" t="s">
        <v>146</v>
      </c>
      <c r="K21" s="20" t="s">
        <v>199</v>
      </c>
      <c r="L21" s="20" t="s">
        <v>200</v>
      </c>
      <c r="M21" s="20">
        <v>0.6</v>
      </c>
      <c r="N21" s="27" t="s">
        <v>66</v>
      </c>
      <c r="O21" s="27" t="s">
        <v>66</v>
      </c>
      <c r="P21" s="26" t="s">
        <v>66</v>
      </c>
      <c r="Q21" s="4">
        <v>1</v>
      </c>
    </row>
    <row r="22" s="4" customFormat="1" ht="27" hidden="1" customHeight="1" spans="1:17">
      <c r="A22" s="20" t="s">
        <v>201</v>
      </c>
      <c r="B22" s="21" t="s">
        <v>202</v>
      </c>
      <c r="C22" s="20" t="str">
        <f>"661506409793100"</f>
        <v>661506409793100</v>
      </c>
      <c r="D22" s="20" t="s">
        <v>58</v>
      </c>
      <c r="E22" s="20" t="s">
        <v>203</v>
      </c>
      <c r="F22" s="20" t="s">
        <v>204</v>
      </c>
      <c r="G22" s="20" t="s">
        <v>143</v>
      </c>
      <c r="H22" s="20" t="s">
        <v>189</v>
      </c>
      <c r="I22" s="108" t="s">
        <v>104</v>
      </c>
      <c r="J22" s="20" t="s">
        <v>205</v>
      </c>
      <c r="K22" s="20" t="s">
        <v>206</v>
      </c>
      <c r="L22" s="20" t="s">
        <v>207</v>
      </c>
      <c r="M22" s="20">
        <v>0.6</v>
      </c>
      <c r="N22" s="27" t="s">
        <v>66</v>
      </c>
      <c r="O22" s="27" t="s">
        <v>66</v>
      </c>
      <c r="P22" s="26" t="s">
        <v>66</v>
      </c>
      <c r="Q22" s="4" t="e">
        <v>#N/A</v>
      </c>
    </row>
    <row r="23" s="3" customFormat="1" ht="27" customHeight="1" spans="1:17">
      <c r="A23" s="18" t="s">
        <v>208</v>
      </c>
      <c r="B23" s="19" t="s">
        <v>209</v>
      </c>
      <c r="C23" s="18" t="str">
        <f>"661506409793000"</f>
        <v>661506409793000</v>
      </c>
      <c r="D23" s="18" t="s">
        <v>58</v>
      </c>
      <c r="E23" s="18" t="s">
        <v>210</v>
      </c>
      <c r="F23" s="18" t="s">
        <v>211</v>
      </c>
      <c r="G23" s="18" t="s">
        <v>60</v>
      </c>
      <c r="H23" s="18" t="s">
        <v>212</v>
      </c>
      <c r="I23" s="105" t="s">
        <v>213</v>
      </c>
      <c r="J23" s="18" t="s">
        <v>205</v>
      </c>
      <c r="K23" s="18" t="s">
        <v>214</v>
      </c>
      <c r="L23" s="18" t="s">
        <v>215</v>
      </c>
      <c r="M23" s="18">
        <v>0.6</v>
      </c>
      <c r="N23" s="30" t="s">
        <v>116</v>
      </c>
      <c r="O23" s="30" t="s">
        <v>115</v>
      </c>
      <c r="P23" s="26" t="s">
        <v>68</v>
      </c>
      <c r="Q23" s="3" t="e">
        <v>#N/A</v>
      </c>
    </row>
    <row r="24" s="3" customFormat="1" ht="27" hidden="1" customHeight="1" spans="1:17">
      <c r="A24" s="18" t="s">
        <v>19</v>
      </c>
      <c r="B24" s="19" t="s">
        <v>216</v>
      </c>
      <c r="C24" s="18" t="str">
        <f>"661506409792800"</f>
        <v>661506409792800</v>
      </c>
      <c r="D24" s="18" t="s">
        <v>58</v>
      </c>
      <c r="E24" s="18" t="s">
        <v>217</v>
      </c>
      <c r="F24" s="18" t="s">
        <v>218</v>
      </c>
      <c r="G24" s="18" t="s">
        <v>60</v>
      </c>
      <c r="H24" s="18" t="s">
        <v>219</v>
      </c>
      <c r="I24" s="18" t="s">
        <v>220</v>
      </c>
      <c r="J24" s="18" t="s">
        <v>221</v>
      </c>
      <c r="K24" s="18" t="s">
        <v>222</v>
      </c>
      <c r="L24" s="18" t="s">
        <v>223</v>
      </c>
      <c r="M24" s="18">
        <v>0.6</v>
      </c>
      <c r="N24" s="28" t="s">
        <v>66</v>
      </c>
      <c r="O24" s="28" t="s">
        <v>66</v>
      </c>
      <c r="P24" s="26" t="s">
        <v>66</v>
      </c>
      <c r="Q24" s="3">
        <v>1</v>
      </c>
    </row>
    <row r="25" s="4" customFormat="1" ht="27" hidden="1" customHeight="1" spans="1:17">
      <c r="A25" s="20" t="s">
        <v>224</v>
      </c>
      <c r="B25" s="21" t="s">
        <v>225</v>
      </c>
      <c r="C25" s="20" t="str">
        <f>"661506409788400"</f>
        <v>661506409788400</v>
      </c>
      <c r="D25" s="20" t="s">
        <v>58</v>
      </c>
      <c r="E25" s="20" t="s">
        <v>226</v>
      </c>
      <c r="F25" s="20" t="s">
        <v>227</v>
      </c>
      <c r="G25" s="20" t="s">
        <v>60</v>
      </c>
      <c r="H25" s="20" t="s">
        <v>153</v>
      </c>
      <c r="I25" s="109" t="s">
        <v>88</v>
      </c>
      <c r="J25" s="20" t="s">
        <v>228</v>
      </c>
      <c r="K25" s="20" t="s">
        <v>229</v>
      </c>
      <c r="L25" s="20" t="s">
        <v>230</v>
      </c>
      <c r="M25" s="20">
        <v>0.6</v>
      </c>
      <c r="N25" s="27" t="s">
        <v>66</v>
      </c>
      <c r="O25" s="27" t="s">
        <v>66</v>
      </c>
      <c r="P25" s="26" t="s">
        <v>66</v>
      </c>
      <c r="Q25" s="4" t="e">
        <v>#N/A</v>
      </c>
    </row>
    <row r="26" s="4" customFormat="1" ht="27" hidden="1" customHeight="1" spans="1:17">
      <c r="A26" s="20" t="s">
        <v>231</v>
      </c>
      <c r="B26" s="21" t="s">
        <v>232</v>
      </c>
      <c r="C26" s="20" t="str">
        <f>"661506409776500"</f>
        <v>661506409776500</v>
      </c>
      <c r="D26" s="20" t="s">
        <v>58</v>
      </c>
      <c r="E26" s="20" t="s">
        <v>233</v>
      </c>
      <c r="F26" s="20" t="s">
        <v>183</v>
      </c>
      <c r="G26" s="20" t="s">
        <v>60</v>
      </c>
      <c r="H26" s="20" t="s">
        <v>234</v>
      </c>
      <c r="I26" s="103" t="s">
        <v>235</v>
      </c>
      <c r="J26" s="20" t="s">
        <v>205</v>
      </c>
      <c r="K26" s="20" t="s">
        <v>236</v>
      </c>
      <c r="L26" s="20" t="s">
        <v>237</v>
      </c>
      <c r="M26" s="20">
        <v>0.6</v>
      </c>
      <c r="N26" s="27" t="s">
        <v>66</v>
      </c>
      <c r="O26" s="27" t="s">
        <v>66</v>
      </c>
      <c r="P26" s="26" t="s">
        <v>66</v>
      </c>
      <c r="Q26" s="4" t="e">
        <v>#N/A</v>
      </c>
    </row>
    <row r="27" s="3" customFormat="1" ht="27" hidden="1" customHeight="1" spans="1:17">
      <c r="A27" s="20" t="s">
        <v>20</v>
      </c>
      <c r="B27" s="21" t="s">
        <v>238</v>
      </c>
      <c r="C27" s="20" t="str">
        <f>"661506409774900"</f>
        <v>661506409774900</v>
      </c>
      <c r="D27" s="18" t="s">
        <v>58</v>
      </c>
      <c r="E27" s="18"/>
      <c r="F27" s="18" t="s">
        <v>239</v>
      </c>
      <c r="G27" s="18" t="s">
        <v>60</v>
      </c>
      <c r="H27" s="18" t="s">
        <v>240</v>
      </c>
      <c r="I27" s="18" t="s">
        <v>241</v>
      </c>
      <c r="J27" s="18" t="s">
        <v>176</v>
      </c>
      <c r="K27" s="18" t="s">
        <v>242</v>
      </c>
      <c r="L27" s="18" t="s">
        <v>243</v>
      </c>
      <c r="M27" s="18">
        <v>0.6</v>
      </c>
      <c r="N27" s="30" t="s">
        <v>116</v>
      </c>
      <c r="O27" s="30" t="s">
        <v>244</v>
      </c>
      <c r="P27" s="26" t="s">
        <v>68</v>
      </c>
      <c r="Q27" s="3">
        <v>1</v>
      </c>
    </row>
    <row r="28" s="4" customFormat="1" ht="27" hidden="1" customHeight="1" spans="1:17">
      <c r="A28" s="20" t="s">
        <v>21</v>
      </c>
      <c r="B28" s="21" t="s">
        <v>245</v>
      </c>
      <c r="C28" s="20" t="str">
        <f>"661506409770600"</f>
        <v>661506409770600</v>
      </c>
      <c r="D28" s="20" t="s">
        <v>58</v>
      </c>
      <c r="E28" s="20" t="s">
        <v>246</v>
      </c>
      <c r="F28" s="20" t="s">
        <v>247</v>
      </c>
      <c r="G28" s="20" t="s">
        <v>60</v>
      </c>
      <c r="H28" s="20" t="s">
        <v>167</v>
      </c>
      <c r="I28" s="103" t="s">
        <v>88</v>
      </c>
      <c r="J28" s="20" t="s">
        <v>80</v>
      </c>
      <c r="K28" s="20" t="s">
        <v>89</v>
      </c>
      <c r="L28" s="20" t="s">
        <v>90</v>
      </c>
      <c r="M28" s="20">
        <v>0.6</v>
      </c>
      <c r="N28" s="27" t="s">
        <v>66</v>
      </c>
      <c r="O28" s="27" t="s">
        <v>66</v>
      </c>
      <c r="P28" s="26" t="s">
        <v>66</v>
      </c>
      <c r="Q28" s="4">
        <v>1</v>
      </c>
    </row>
    <row r="29" s="4" customFormat="1" ht="27" hidden="1" customHeight="1" spans="1:17">
      <c r="A29" s="18" t="s">
        <v>248</v>
      </c>
      <c r="B29" s="19" t="s">
        <v>249</v>
      </c>
      <c r="C29" s="18" t="str">
        <f>"661506409761100"</f>
        <v>661506409761100</v>
      </c>
      <c r="D29" s="20" t="s">
        <v>58</v>
      </c>
      <c r="E29" s="20" t="s">
        <v>250</v>
      </c>
      <c r="F29" s="20" t="s">
        <v>251</v>
      </c>
      <c r="G29" s="20" t="s">
        <v>60</v>
      </c>
      <c r="H29" s="20" t="s">
        <v>126</v>
      </c>
      <c r="I29" s="108" t="s">
        <v>252</v>
      </c>
      <c r="J29" s="20" t="s">
        <v>205</v>
      </c>
      <c r="K29" s="20" t="s">
        <v>129</v>
      </c>
      <c r="L29" s="20" t="s">
        <v>130</v>
      </c>
      <c r="M29" s="20">
        <v>0.6</v>
      </c>
      <c r="N29" s="27" t="s">
        <v>66</v>
      </c>
      <c r="O29" s="27" t="s">
        <v>66</v>
      </c>
      <c r="P29" s="26" t="s">
        <v>66</v>
      </c>
      <c r="Q29" s="4" t="e">
        <v>#N/A</v>
      </c>
    </row>
    <row r="30" s="4" customFormat="1" ht="27" customHeight="1" spans="1:17">
      <c r="A30" s="23" t="s">
        <v>253</v>
      </c>
      <c r="B30" s="24" t="s">
        <v>254</v>
      </c>
      <c r="C30" s="23" t="str">
        <f>"661506409758600"</f>
        <v>661506409758600</v>
      </c>
      <c r="D30" s="20" t="s">
        <v>58</v>
      </c>
      <c r="E30" s="20"/>
      <c r="F30" s="20" t="s">
        <v>255</v>
      </c>
      <c r="G30" s="20" t="s">
        <v>60</v>
      </c>
      <c r="H30" s="20" t="s">
        <v>256</v>
      </c>
      <c r="I30" s="109" t="s">
        <v>257</v>
      </c>
      <c r="J30" s="20" t="s">
        <v>176</v>
      </c>
      <c r="K30" s="20" t="s">
        <v>258</v>
      </c>
      <c r="L30" s="20" t="s">
        <v>259</v>
      </c>
      <c r="M30" s="20">
        <v>0.6</v>
      </c>
      <c r="N30" s="27" t="s">
        <v>66</v>
      </c>
      <c r="O30" s="27" t="s">
        <v>66</v>
      </c>
      <c r="P30" s="26" t="s">
        <v>66</v>
      </c>
      <c r="Q30" s="4" t="e">
        <v>#N/A</v>
      </c>
    </row>
    <row r="31" s="3" customFormat="1" ht="27" hidden="1" customHeight="1" spans="1:17">
      <c r="A31" s="18" t="s">
        <v>22</v>
      </c>
      <c r="B31" s="19" t="s">
        <v>260</v>
      </c>
      <c r="C31" s="18" t="str">
        <f>"661506409750600"</f>
        <v>661506409750600</v>
      </c>
      <c r="D31" s="18" t="s">
        <v>58</v>
      </c>
      <c r="E31" s="18" t="s">
        <v>261</v>
      </c>
      <c r="F31" s="18">
        <v>18647702582</v>
      </c>
      <c r="G31" s="18" t="s">
        <v>60</v>
      </c>
      <c r="H31" s="18" t="s">
        <v>256</v>
      </c>
      <c r="I31" s="104" t="s">
        <v>262</v>
      </c>
      <c r="J31" s="18" t="s">
        <v>128</v>
      </c>
      <c r="K31" s="18" t="s">
        <v>263</v>
      </c>
      <c r="L31" s="18" t="s">
        <v>264</v>
      </c>
      <c r="M31" s="18">
        <v>0.6</v>
      </c>
      <c r="N31" s="30" t="s">
        <v>116</v>
      </c>
      <c r="O31" s="30" t="s">
        <v>244</v>
      </c>
      <c r="P31" s="26" t="s">
        <v>68</v>
      </c>
      <c r="Q31" s="3">
        <v>1</v>
      </c>
    </row>
    <row r="32" s="4" customFormat="1" ht="27" hidden="1" customHeight="1" spans="1:17">
      <c r="A32" s="20" t="s">
        <v>23</v>
      </c>
      <c r="B32" s="21" t="s">
        <v>265</v>
      </c>
      <c r="C32" s="20" t="str">
        <f>"661506409734500"</f>
        <v>661506409734500</v>
      </c>
      <c r="D32" s="20" t="s">
        <v>58</v>
      </c>
      <c r="E32" s="20"/>
      <c r="F32" s="20" t="s">
        <v>266</v>
      </c>
      <c r="G32" s="20" t="s">
        <v>60</v>
      </c>
      <c r="H32" s="20" t="s">
        <v>256</v>
      </c>
      <c r="I32" s="108" t="s">
        <v>267</v>
      </c>
      <c r="J32" s="20" t="s">
        <v>80</v>
      </c>
      <c r="K32" s="20" t="s">
        <v>89</v>
      </c>
      <c r="L32" s="20" t="s">
        <v>90</v>
      </c>
      <c r="M32" s="20">
        <v>0.6</v>
      </c>
      <c r="N32" s="27" t="s">
        <v>66</v>
      </c>
      <c r="O32" s="27" t="s">
        <v>66</v>
      </c>
      <c r="P32" s="26" t="s">
        <v>66</v>
      </c>
      <c r="Q32" s="4">
        <v>1</v>
      </c>
    </row>
    <row r="33" s="4" customFormat="1" ht="27" hidden="1" customHeight="1" spans="1:17">
      <c r="A33" s="20" t="s">
        <v>24</v>
      </c>
      <c r="B33" s="21" t="s">
        <v>268</v>
      </c>
      <c r="C33" s="20" t="str">
        <f>"661506409716600"</f>
        <v>661506409716600</v>
      </c>
      <c r="D33" s="20" t="s">
        <v>58</v>
      </c>
      <c r="E33" s="20" t="s">
        <v>269</v>
      </c>
      <c r="F33" s="20">
        <v>18504778665</v>
      </c>
      <c r="G33" s="20" t="s">
        <v>60</v>
      </c>
      <c r="H33" s="20" t="s">
        <v>270</v>
      </c>
      <c r="I33" s="108" t="s">
        <v>271</v>
      </c>
      <c r="J33" s="20" t="s">
        <v>205</v>
      </c>
      <c r="K33" s="20" t="s">
        <v>272</v>
      </c>
      <c r="L33" s="20" t="s">
        <v>273</v>
      </c>
      <c r="M33" s="20">
        <v>0.6</v>
      </c>
      <c r="N33" s="40" t="s">
        <v>274</v>
      </c>
      <c r="O33" s="40" t="s">
        <v>116</v>
      </c>
      <c r="P33" s="26" t="s">
        <v>68</v>
      </c>
      <c r="Q33" s="4">
        <v>1</v>
      </c>
    </row>
    <row r="34" s="4" customFormat="1" ht="27" hidden="1" customHeight="1" spans="1:17">
      <c r="A34" s="18" t="s">
        <v>275</v>
      </c>
      <c r="B34" s="19" t="s">
        <v>276</v>
      </c>
      <c r="C34" s="18" t="str">
        <f>"661506409658500"</f>
        <v>661506409658500</v>
      </c>
      <c r="D34" s="20" t="s">
        <v>58</v>
      </c>
      <c r="E34" s="20"/>
      <c r="F34" s="20" t="s">
        <v>277</v>
      </c>
      <c r="G34" s="20" t="s">
        <v>60</v>
      </c>
      <c r="H34" s="20" t="s">
        <v>256</v>
      </c>
      <c r="I34" s="20"/>
      <c r="J34" s="20" t="s">
        <v>221</v>
      </c>
      <c r="K34" s="20" t="s">
        <v>278</v>
      </c>
      <c r="L34" s="20" t="s">
        <v>279</v>
      </c>
      <c r="M34" s="20">
        <v>0.6</v>
      </c>
      <c r="N34" s="41" t="s">
        <v>66</v>
      </c>
      <c r="O34" s="41" t="s">
        <v>66</v>
      </c>
      <c r="P34" s="37" t="s">
        <v>66</v>
      </c>
      <c r="Q34" s="4" t="e">
        <v>#N/A</v>
      </c>
    </row>
    <row r="35" s="4" customFormat="1" ht="27" hidden="1" customHeight="1" spans="1:17">
      <c r="A35" s="20" t="s">
        <v>280</v>
      </c>
      <c r="B35" s="21" t="s">
        <v>281</v>
      </c>
      <c r="C35" s="20" t="str">
        <f>"661506409650500"</f>
        <v>661506409650500</v>
      </c>
      <c r="D35" s="20" t="s">
        <v>58</v>
      </c>
      <c r="E35" s="20" t="s">
        <v>282</v>
      </c>
      <c r="F35" s="20" t="s">
        <v>283</v>
      </c>
      <c r="G35" s="20" t="s">
        <v>60</v>
      </c>
      <c r="H35" s="20" t="s">
        <v>284</v>
      </c>
      <c r="I35" s="103" t="s">
        <v>88</v>
      </c>
      <c r="J35" s="20" t="s">
        <v>176</v>
      </c>
      <c r="K35" s="20" t="s">
        <v>285</v>
      </c>
      <c r="L35" s="20" t="s">
        <v>286</v>
      </c>
      <c r="M35" s="20">
        <v>0.6</v>
      </c>
      <c r="N35" s="27" t="s">
        <v>66</v>
      </c>
      <c r="O35" s="27" t="s">
        <v>66</v>
      </c>
      <c r="P35" s="26" t="s">
        <v>66</v>
      </c>
      <c r="Q35" s="4" t="e">
        <v>#N/A</v>
      </c>
    </row>
    <row r="36" s="4" customFormat="1" ht="27" hidden="1" customHeight="1" spans="1:17">
      <c r="A36" s="20" t="s">
        <v>287</v>
      </c>
      <c r="B36" s="21" t="s">
        <v>288</v>
      </c>
      <c r="C36" s="20" t="str">
        <f>"661506409648600"</f>
        <v>661506409648600</v>
      </c>
      <c r="D36" s="20" t="s">
        <v>58</v>
      </c>
      <c r="E36" s="20" t="s">
        <v>289</v>
      </c>
      <c r="F36" s="20" t="s">
        <v>290</v>
      </c>
      <c r="G36" s="20" t="s">
        <v>60</v>
      </c>
      <c r="H36" s="20" t="s">
        <v>120</v>
      </c>
      <c r="I36" s="103" t="s">
        <v>190</v>
      </c>
      <c r="J36" s="20" t="s">
        <v>80</v>
      </c>
      <c r="K36" s="20" t="s">
        <v>169</v>
      </c>
      <c r="L36" s="20" t="s">
        <v>170</v>
      </c>
      <c r="M36" s="20">
        <v>0.6</v>
      </c>
      <c r="N36" s="27" t="s">
        <v>66</v>
      </c>
      <c r="O36" s="27" t="s">
        <v>66</v>
      </c>
      <c r="P36" s="26" t="s">
        <v>66</v>
      </c>
      <c r="Q36" s="4" t="e">
        <v>#N/A</v>
      </c>
    </row>
    <row r="37" s="4" customFormat="1" ht="27" hidden="1" customHeight="1" spans="1:17">
      <c r="A37" s="20" t="s">
        <v>26</v>
      </c>
      <c r="B37" s="21" t="s">
        <v>291</v>
      </c>
      <c r="C37" s="20" t="str">
        <f>"661506409648400"</f>
        <v>661506409648400</v>
      </c>
      <c r="D37" s="20" t="s">
        <v>292</v>
      </c>
      <c r="E37" s="20" t="s">
        <v>293</v>
      </c>
      <c r="F37" s="20" t="s">
        <v>294</v>
      </c>
      <c r="G37" s="20" t="s">
        <v>60</v>
      </c>
      <c r="H37" s="20" t="s">
        <v>295</v>
      </c>
      <c r="I37" s="103" t="s">
        <v>88</v>
      </c>
      <c r="J37" s="20" t="s">
        <v>296</v>
      </c>
      <c r="K37" s="20" t="s">
        <v>297</v>
      </c>
      <c r="L37" s="20" t="s">
        <v>298</v>
      </c>
      <c r="M37" s="20">
        <v>0.6</v>
      </c>
      <c r="N37" s="27" t="s">
        <v>66</v>
      </c>
      <c r="O37" s="27" t="s">
        <v>66</v>
      </c>
      <c r="P37" s="26" t="s">
        <v>66</v>
      </c>
      <c r="Q37" s="4">
        <v>1</v>
      </c>
    </row>
    <row r="38" s="4" customFormat="1" ht="27" hidden="1" customHeight="1" spans="1:17">
      <c r="A38" s="18" t="s">
        <v>299</v>
      </c>
      <c r="B38" s="19" t="s">
        <v>300</v>
      </c>
      <c r="C38" s="18" t="str">
        <f>"661506409640500"</f>
        <v>661506409640500</v>
      </c>
      <c r="D38" s="20" t="s">
        <v>292</v>
      </c>
      <c r="E38" s="20" t="s">
        <v>301</v>
      </c>
      <c r="F38" s="20" t="s">
        <v>302</v>
      </c>
      <c r="G38" s="20" t="s">
        <v>143</v>
      </c>
      <c r="H38" s="20" t="s">
        <v>153</v>
      </c>
      <c r="I38" s="103" t="s">
        <v>271</v>
      </c>
      <c r="J38" s="20" t="s">
        <v>303</v>
      </c>
      <c r="K38" s="20" t="s">
        <v>304</v>
      </c>
      <c r="L38" s="20" t="s">
        <v>305</v>
      </c>
      <c r="M38" s="20">
        <v>0.6</v>
      </c>
      <c r="N38" s="27" t="s">
        <v>66</v>
      </c>
      <c r="O38" s="27" t="s">
        <v>66</v>
      </c>
      <c r="P38" s="26" t="s">
        <v>66</v>
      </c>
      <c r="Q38" s="4" t="e">
        <v>#N/A</v>
      </c>
    </row>
    <row r="39" s="4" customFormat="1" ht="27" customHeight="1" spans="1:17">
      <c r="A39" s="18" t="s">
        <v>306</v>
      </c>
      <c r="B39" s="19" t="s">
        <v>307</v>
      </c>
      <c r="C39" s="18" t="str">
        <f>"661506409636600"</f>
        <v>661506409636600</v>
      </c>
      <c r="D39" s="20" t="s">
        <v>58</v>
      </c>
      <c r="E39" s="20" t="s">
        <v>308</v>
      </c>
      <c r="F39" s="20" t="s">
        <v>309</v>
      </c>
      <c r="G39" s="20" t="s">
        <v>60</v>
      </c>
      <c r="H39" s="20" t="s">
        <v>310</v>
      </c>
      <c r="I39" s="103" t="s">
        <v>88</v>
      </c>
      <c r="J39" s="20" t="s">
        <v>311</v>
      </c>
      <c r="K39" s="20" t="s">
        <v>312</v>
      </c>
      <c r="L39" s="20" t="s">
        <v>313</v>
      </c>
      <c r="M39" s="20">
        <v>0.6</v>
      </c>
      <c r="N39" s="27" t="s">
        <v>66</v>
      </c>
      <c r="O39" s="27" t="s">
        <v>66</v>
      </c>
      <c r="P39" s="26" t="s">
        <v>66</v>
      </c>
      <c r="Q39" s="4" t="e">
        <v>#N/A</v>
      </c>
    </row>
    <row r="40" s="4" customFormat="1" ht="27" hidden="1" customHeight="1" spans="1:17">
      <c r="A40" s="20" t="s">
        <v>27</v>
      </c>
      <c r="B40" s="21" t="s">
        <v>314</v>
      </c>
      <c r="C40" s="20" t="str">
        <f>"661506409635100"</f>
        <v>661506409635100</v>
      </c>
      <c r="D40" s="20" t="s">
        <v>58</v>
      </c>
      <c r="E40" s="20" t="s">
        <v>315</v>
      </c>
      <c r="F40" s="20" t="s">
        <v>316</v>
      </c>
      <c r="G40" s="20" t="s">
        <v>60</v>
      </c>
      <c r="H40" s="20" t="s">
        <v>317</v>
      </c>
      <c r="I40" s="103" t="s">
        <v>160</v>
      </c>
      <c r="J40" s="20" t="s">
        <v>128</v>
      </c>
      <c r="K40" s="20" t="s">
        <v>318</v>
      </c>
      <c r="L40" s="20" t="s">
        <v>319</v>
      </c>
      <c r="M40" s="20">
        <v>0.6</v>
      </c>
      <c r="N40" s="27" t="s">
        <v>66</v>
      </c>
      <c r="O40" s="27" t="s">
        <v>66</v>
      </c>
      <c r="P40" s="26" t="s">
        <v>66</v>
      </c>
      <c r="Q40" s="4">
        <v>1</v>
      </c>
    </row>
    <row r="41" s="4" customFormat="1" ht="27" hidden="1" customHeight="1" spans="1:17">
      <c r="A41" s="20" t="s">
        <v>28</v>
      </c>
      <c r="B41" s="21" t="s">
        <v>320</v>
      </c>
      <c r="C41" s="20" t="str">
        <f>"661506409552700"</f>
        <v>661506409552700</v>
      </c>
      <c r="D41" s="20" t="s">
        <v>58</v>
      </c>
      <c r="E41" s="20" t="s">
        <v>321</v>
      </c>
      <c r="F41" s="20" t="s">
        <v>322</v>
      </c>
      <c r="G41" s="20" t="s">
        <v>60</v>
      </c>
      <c r="H41" s="20" t="s">
        <v>323</v>
      </c>
      <c r="I41" s="103" t="s">
        <v>88</v>
      </c>
      <c r="J41" s="20" t="s">
        <v>74</v>
      </c>
      <c r="K41" s="20" t="s">
        <v>324</v>
      </c>
      <c r="L41" s="20" t="s">
        <v>325</v>
      </c>
      <c r="M41" s="20">
        <v>0.6</v>
      </c>
      <c r="N41" s="27" t="s">
        <v>66</v>
      </c>
      <c r="O41" s="27" t="s">
        <v>66</v>
      </c>
      <c r="P41" s="26" t="s">
        <v>66</v>
      </c>
      <c r="Q41" s="4">
        <v>1</v>
      </c>
    </row>
    <row r="42" s="3" customFormat="1" ht="27" customHeight="1" spans="1:17">
      <c r="A42" s="18" t="s">
        <v>326</v>
      </c>
      <c r="B42" s="19" t="s">
        <v>327</v>
      </c>
      <c r="C42" s="18" t="str">
        <f>"661506409522700"</f>
        <v>661506409522700</v>
      </c>
      <c r="D42" s="18" t="s">
        <v>58</v>
      </c>
      <c r="E42" s="18" t="s">
        <v>328</v>
      </c>
      <c r="F42" s="18"/>
      <c r="G42" s="18" t="s">
        <v>143</v>
      </c>
      <c r="H42" s="18" t="s">
        <v>153</v>
      </c>
      <c r="I42" s="18"/>
      <c r="J42" s="18" t="s">
        <v>228</v>
      </c>
      <c r="K42" s="18" t="s">
        <v>329</v>
      </c>
      <c r="L42" s="18" t="s">
        <v>330</v>
      </c>
      <c r="M42" s="18">
        <v>0.6</v>
      </c>
      <c r="N42" s="32" t="s">
        <v>66</v>
      </c>
      <c r="O42" s="32" t="s">
        <v>66</v>
      </c>
      <c r="P42" s="37" t="s">
        <v>66</v>
      </c>
      <c r="Q42" s="3" t="e">
        <v>#N/A</v>
      </c>
    </row>
    <row r="43" s="4" customFormat="1" ht="27" hidden="1" customHeight="1" spans="1:17">
      <c r="A43" s="20" t="s">
        <v>331</v>
      </c>
      <c r="B43" s="21" t="s">
        <v>332</v>
      </c>
      <c r="C43" s="20" t="str">
        <f>"661506409488400"</f>
        <v>661506409488400</v>
      </c>
      <c r="D43" s="20" t="s">
        <v>58</v>
      </c>
      <c r="E43" s="20" t="s">
        <v>333</v>
      </c>
      <c r="F43" s="20">
        <v>13327077111</v>
      </c>
      <c r="G43" s="20" t="s">
        <v>60</v>
      </c>
      <c r="H43" s="20" t="s">
        <v>334</v>
      </c>
      <c r="I43" s="108" t="s">
        <v>154</v>
      </c>
      <c r="J43" s="20" t="s">
        <v>80</v>
      </c>
      <c r="K43" s="20" t="s">
        <v>169</v>
      </c>
      <c r="L43" s="20" t="s">
        <v>170</v>
      </c>
      <c r="M43" s="20">
        <v>0.6</v>
      </c>
      <c r="N43" s="27" t="s">
        <v>66</v>
      </c>
      <c r="O43" s="27" t="s">
        <v>66</v>
      </c>
      <c r="P43" s="26" t="s">
        <v>66</v>
      </c>
      <c r="Q43" s="4" t="e">
        <v>#N/A</v>
      </c>
    </row>
    <row r="44" s="3" customFormat="1" ht="27" hidden="1" customHeight="1" spans="1:17">
      <c r="A44" s="20" t="s">
        <v>335</v>
      </c>
      <c r="B44" s="21" t="s">
        <v>336</v>
      </c>
      <c r="C44" s="20" t="str">
        <f>"661506409460600"</f>
        <v>661506409460600</v>
      </c>
      <c r="D44" s="18" t="s">
        <v>58</v>
      </c>
      <c r="E44" s="18" t="s">
        <v>337</v>
      </c>
      <c r="F44" s="18" t="s">
        <v>338</v>
      </c>
      <c r="G44" s="18" t="s">
        <v>60</v>
      </c>
      <c r="H44" s="18" t="s">
        <v>126</v>
      </c>
      <c r="I44" s="18" t="s">
        <v>339</v>
      </c>
      <c r="J44" s="18" t="s">
        <v>340</v>
      </c>
      <c r="K44" s="18" t="s">
        <v>341</v>
      </c>
      <c r="L44" s="18" t="s">
        <v>342</v>
      </c>
      <c r="M44" s="18">
        <v>0.6</v>
      </c>
      <c r="N44" s="28" t="s">
        <v>66</v>
      </c>
      <c r="O44" s="28" t="s">
        <v>66</v>
      </c>
      <c r="P44" s="26" t="s">
        <v>343</v>
      </c>
      <c r="Q44" s="3" t="e">
        <v>#N/A</v>
      </c>
    </row>
    <row r="45" s="4" customFormat="1" ht="27" customHeight="1" spans="1:17">
      <c r="A45" s="18" t="s">
        <v>344</v>
      </c>
      <c r="B45" s="19" t="s">
        <v>345</v>
      </c>
      <c r="C45" s="18" t="str">
        <f>"661506409454500"</f>
        <v>661506409454500</v>
      </c>
      <c r="D45" s="20" t="s">
        <v>58</v>
      </c>
      <c r="E45" s="20" t="s">
        <v>346</v>
      </c>
      <c r="F45" s="20" t="s">
        <v>347</v>
      </c>
      <c r="G45" s="20" t="s">
        <v>60</v>
      </c>
      <c r="H45" s="20" t="s">
        <v>167</v>
      </c>
      <c r="I45" s="20"/>
      <c r="J45" s="20" t="s">
        <v>348</v>
      </c>
      <c r="K45" s="20" t="s">
        <v>349</v>
      </c>
      <c r="L45" s="20" t="s">
        <v>350</v>
      </c>
      <c r="M45" s="20">
        <v>0.6</v>
      </c>
      <c r="N45" s="41" t="s">
        <v>66</v>
      </c>
      <c r="O45" s="41" t="s">
        <v>66</v>
      </c>
      <c r="P45" s="37" t="s">
        <v>66</v>
      </c>
      <c r="Q45" s="4" t="e">
        <v>#N/A</v>
      </c>
    </row>
    <row r="46" s="4" customFormat="1" ht="27" hidden="1" customHeight="1" spans="1:17">
      <c r="A46" s="20" t="s">
        <v>29</v>
      </c>
      <c r="B46" s="21" t="s">
        <v>351</v>
      </c>
      <c r="C46" s="20" t="str">
        <f>"661506409454400"</f>
        <v>661506409454400</v>
      </c>
      <c r="D46" s="20" t="s">
        <v>58</v>
      </c>
      <c r="E46" s="20" t="s">
        <v>352</v>
      </c>
      <c r="F46" s="20" t="s">
        <v>353</v>
      </c>
      <c r="G46" s="20" t="s">
        <v>143</v>
      </c>
      <c r="H46" s="20" t="s">
        <v>234</v>
      </c>
      <c r="I46" s="108" t="s">
        <v>252</v>
      </c>
      <c r="J46" s="20" t="s">
        <v>205</v>
      </c>
      <c r="K46" s="20" t="s">
        <v>214</v>
      </c>
      <c r="L46" s="20" t="s">
        <v>215</v>
      </c>
      <c r="M46" s="20">
        <v>0.6</v>
      </c>
      <c r="N46" s="36" t="s">
        <v>66</v>
      </c>
      <c r="O46" s="36" t="s">
        <v>354</v>
      </c>
      <c r="P46" s="37" t="s">
        <v>66</v>
      </c>
      <c r="Q46" s="4">
        <v>1</v>
      </c>
    </row>
    <row r="47" s="4" customFormat="1" ht="27" hidden="1" customHeight="1" spans="1:17">
      <c r="A47" s="20" t="s">
        <v>355</v>
      </c>
      <c r="B47" s="21" t="s">
        <v>356</v>
      </c>
      <c r="C47" s="20" t="str">
        <f>"661506409450500"</f>
        <v>661506409450500</v>
      </c>
      <c r="D47" s="20" t="s">
        <v>58</v>
      </c>
      <c r="E47" s="20" t="s">
        <v>357</v>
      </c>
      <c r="F47" s="20">
        <v>13644770262</v>
      </c>
      <c r="G47" s="20" t="s">
        <v>60</v>
      </c>
      <c r="H47" s="20" t="s">
        <v>358</v>
      </c>
      <c r="I47" s="110" t="s">
        <v>359</v>
      </c>
      <c r="J47" s="20" t="s">
        <v>80</v>
      </c>
      <c r="K47" s="20" t="s">
        <v>169</v>
      </c>
      <c r="L47" s="20" t="s">
        <v>170</v>
      </c>
      <c r="M47" s="20">
        <v>0.6</v>
      </c>
      <c r="N47" s="27" t="s">
        <v>66</v>
      </c>
      <c r="O47" s="27" t="s">
        <v>66</v>
      </c>
      <c r="P47" s="26" t="s">
        <v>66</v>
      </c>
      <c r="Q47" s="4" t="e">
        <v>#N/A</v>
      </c>
    </row>
    <row r="48" s="4" customFormat="1" ht="27" hidden="1" customHeight="1" spans="1:17">
      <c r="A48" s="20" t="s">
        <v>360</v>
      </c>
      <c r="B48" s="21" t="s">
        <v>361</v>
      </c>
      <c r="C48" s="20" t="str">
        <f>"661506409446400"</f>
        <v>661506409446400</v>
      </c>
      <c r="D48" s="20" t="s">
        <v>362</v>
      </c>
      <c r="E48" s="20" t="s">
        <v>363</v>
      </c>
      <c r="F48" s="20" t="s">
        <v>364</v>
      </c>
      <c r="G48" s="20" t="s">
        <v>143</v>
      </c>
      <c r="H48" s="20" t="s">
        <v>126</v>
      </c>
      <c r="I48" s="109" t="s">
        <v>95</v>
      </c>
      <c r="J48" s="20" t="s">
        <v>221</v>
      </c>
      <c r="K48" s="20" t="s">
        <v>365</v>
      </c>
      <c r="L48" s="20" t="s">
        <v>366</v>
      </c>
      <c r="M48" s="20">
        <v>0.6</v>
      </c>
      <c r="N48" s="27" t="s">
        <v>66</v>
      </c>
      <c r="O48" s="27" t="s">
        <v>66</v>
      </c>
      <c r="P48" s="26" t="s">
        <v>66</v>
      </c>
      <c r="Q48" s="4" t="e">
        <v>#N/A</v>
      </c>
    </row>
    <row r="49" s="4" customFormat="1" ht="27" customHeight="1" spans="1:17">
      <c r="A49" s="18" t="s">
        <v>367</v>
      </c>
      <c r="B49" s="19" t="s">
        <v>368</v>
      </c>
      <c r="C49" s="18" t="str">
        <f>"661506409444400"</f>
        <v>661506409444400</v>
      </c>
      <c r="D49" s="20" t="s">
        <v>58</v>
      </c>
      <c r="E49" s="20" t="s">
        <v>369</v>
      </c>
      <c r="F49" s="20" t="s">
        <v>370</v>
      </c>
      <c r="G49" s="20" t="s">
        <v>60</v>
      </c>
      <c r="H49" s="20" t="s">
        <v>256</v>
      </c>
      <c r="I49" s="20" t="s">
        <v>88</v>
      </c>
      <c r="J49" s="20" t="s">
        <v>146</v>
      </c>
      <c r="K49" s="20" t="s">
        <v>371</v>
      </c>
      <c r="L49" s="20" t="s">
        <v>372</v>
      </c>
      <c r="M49" s="20">
        <v>0.6</v>
      </c>
      <c r="N49" s="27" t="s">
        <v>66</v>
      </c>
      <c r="O49" s="27" t="s">
        <v>66</v>
      </c>
      <c r="P49" s="26" t="s">
        <v>66</v>
      </c>
      <c r="Q49" s="4" t="e">
        <v>#N/A</v>
      </c>
    </row>
    <row r="50" s="4" customFormat="1" ht="27" hidden="1" customHeight="1" spans="1:17">
      <c r="A50" s="20" t="s">
        <v>373</v>
      </c>
      <c r="B50" s="21" t="s">
        <v>374</v>
      </c>
      <c r="C50" s="20" t="str">
        <f>"661506409238500"</f>
        <v>661506409238500</v>
      </c>
      <c r="D50" s="20" t="s">
        <v>375</v>
      </c>
      <c r="E50" s="20" t="s">
        <v>376</v>
      </c>
      <c r="F50" s="20" t="s">
        <v>377</v>
      </c>
      <c r="G50" s="20" t="s">
        <v>60</v>
      </c>
      <c r="H50" s="20" t="s">
        <v>378</v>
      </c>
      <c r="I50" s="103" t="s">
        <v>379</v>
      </c>
      <c r="J50" s="20" t="s">
        <v>380</v>
      </c>
      <c r="K50" s="20" t="s">
        <v>381</v>
      </c>
      <c r="L50" s="20" t="s">
        <v>382</v>
      </c>
      <c r="M50" s="20">
        <v>0.6</v>
      </c>
      <c r="N50" s="27" t="s">
        <v>66</v>
      </c>
      <c r="O50" s="27" t="s">
        <v>66</v>
      </c>
      <c r="P50" s="26" t="s">
        <v>66</v>
      </c>
      <c r="Q50" s="4" t="e">
        <v>#N/A</v>
      </c>
    </row>
    <row r="51" s="4" customFormat="1" ht="27" hidden="1" customHeight="1" spans="1:17">
      <c r="A51" s="20" t="s">
        <v>31</v>
      </c>
      <c r="B51" s="21" t="s">
        <v>383</v>
      </c>
      <c r="C51" s="20" t="str">
        <f>"661506409122600"</f>
        <v>661506409122600</v>
      </c>
      <c r="D51" s="20" t="s">
        <v>58</v>
      </c>
      <c r="E51" s="20" t="s">
        <v>384</v>
      </c>
      <c r="F51" s="20"/>
      <c r="G51" s="20" t="s">
        <v>60</v>
      </c>
      <c r="H51" s="20" t="s">
        <v>385</v>
      </c>
      <c r="I51" s="103" t="s">
        <v>386</v>
      </c>
      <c r="J51" s="20" t="s">
        <v>80</v>
      </c>
      <c r="K51" s="20" t="s">
        <v>169</v>
      </c>
      <c r="L51" s="20" t="s">
        <v>170</v>
      </c>
      <c r="M51" s="20">
        <v>0.6</v>
      </c>
      <c r="N51" s="27" t="s">
        <v>66</v>
      </c>
      <c r="O51" s="27" t="s">
        <v>66</v>
      </c>
      <c r="P51" s="26" t="s">
        <v>66</v>
      </c>
      <c r="Q51" s="4">
        <v>1</v>
      </c>
    </row>
    <row r="52" s="3" customFormat="1" ht="27" hidden="1" customHeight="1" spans="1:17">
      <c r="A52" s="20" t="s">
        <v>32</v>
      </c>
      <c r="B52" s="21" t="s">
        <v>387</v>
      </c>
      <c r="C52" s="20" t="str">
        <f>"661506409076600"</f>
        <v>661506409076600</v>
      </c>
      <c r="D52" s="18" t="s">
        <v>58</v>
      </c>
      <c r="E52" s="18" t="s">
        <v>388</v>
      </c>
      <c r="F52" s="18" t="s">
        <v>389</v>
      </c>
      <c r="G52" s="18" t="s">
        <v>60</v>
      </c>
      <c r="H52" s="18" t="s">
        <v>358</v>
      </c>
      <c r="I52" s="104" t="s">
        <v>390</v>
      </c>
      <c r="J52" s="18" t="s">
        <v>146</v>
      </c>
      <c r="K52" s="18" t="s">
        <v>391</v>
      </c>
      <c r="L52" s="18" t="s">
        <v>392</v>
      </c>
      <c r="M52" s="18">
        <v>0.6</v>
      </c>
      <c r="N52" s="28" t="s">
        <v>66</v>
      </c>
      <c r="O52" s="28" t="s">
        <v>66</v>
      </c>
      <c r="P52" s="26" t="s">
        <v>66</v>
      </c>
      <c r="Q52" s="3">
        <v>1</v>
      </c>
    </row>
    <row r="53" s="3" customFormat="1" ht="27" customHeight="1" spans="1:17">
      <c r="A53" s="18" t="s">
        <v>393</v>
      </c>
      <c r="B53" s="19" t="s">
        <v>394</v>
      </c>
      <c r="C53" s="18" t="str">
        <f>"661506409074500"</f>
        <v>661506409074500</v>
      </c>
      <c r="D53" s="18" t="s">
        <v>58</v>
      </c>
      <c r="E53" s="18" t="s">
        <v>395</v>
      </c>
      <c r="F53" s="18"/>
      <c r="G53" s="18" t="s">
        <v>60</v>
      </c>
      <c r="H53" s="18" t="s">
        <v>396</v>
      </c>
      <c r="I53" s="104" t="s">
        <v>397</v>
      </c>
      <c r="J53" s="18" t="s">
        <v>205</v>
      </c>
      <c r="K53" s="18" t="s">
        <v>214</v>
      </c>
      <c r="L53" s="18" t="s">
        <v>215</v>
      </c>
      <c r="M53" s="18">
        <v>0.6</v>
      </c>
      <c r="N53" s="28" t="s">
        <v>66</v>
      </c>
      <c r="O53" s="28" t="s">
        <v>66</v>
      </c>
      <c r="P53" s="26" t="s">
        <v>66</v>
      </c>
      <c r="Q53" s="3" t="e">
        <v>#N/A</v>
      </c>
    </row>
    <row r="54" s="4" customFormat="1" ht="27" hidden="1" customHeight="1" spans="1:17">
      <c r="A54" s="18" t="s">
        <v>398</v>
      </c>
      <c r="B54" s="19" t="s">
        <v>399</v>
      </c>
      <c r="C54" s="18" t="str">
        <f>"661506409070400"</f>
        <v>661506409070400</v>
      </c>
      <c r="D54" s="20" t="s">
        <v>58</v>
      </c>
      <c r="E54" s="20" t="s">
        <v>400</v>
      </c>
      <c r="F54" s="20">
        <v>13948779508</v>
      </c>
      <c r="G54" s="20" t="s">
        <v>60</v>
      </c>
      <c r="H54" s="20" t="s">
        <v>401</v>
      </c>
      <c r="I54" s="20"/>
      <c r="J54" s="20" t="s">
        <v>205</v>
      </c>
      <c r="K54" s="20" t="s">
        <v>402</v>
      </c>
      <c r="L54" s="20" t="s">
        <v>403</v>
      </c>
      <c r="M54" s="20">
        <v>0.6</v>
      </c>
      <c r="N54" s="40" t="s">
        <v>66</v>
      </c>
      <c r="O54" s="40" t="s">
        <v>116</v>
      </c>
      <c r="P54" s="26" t="s">
        <v>68</v>
      </c>
      <c r="Q54" s="4" t="e">
        <v>#N/A</v>
      </c>
    </row>
    <row r="55" s="4" customFormat="1" ht="27" hidden="1" customHeight="1" spans="1:17">
      <c r="A55" s="20" t="s">
        <v>404</v>
      </c>
      <c r="B55" s="21" t="s">
        <v>405</v>
      </c>
      <c r="C55" s="20" t="str">
        <f>"661506409068500"</f>
        <v>661506409068500</v>
      </c>
      <c r="D55" s="20" t="s">
        <v>58</v>
      </c>
      <c r="E55" s="20" t="s">
        <v>406</v>
      </c>
      <c r="F55" s="20"/>
      <c r="G55" s="20" t="s">
        <v>143</v>
      </c>
      <c r="H55" s="20" t="s">
        <v>407</v>
      </c>
      <c r="I55" s="103" t="s">
        <v>88</v>
      </c>
      <c r="J55" s="20" t="s">
        <v>128</v>
      </c>
      <c r="K55" s="20" t="s">
        <v>408</v>
      </c>
      <c r="L55" s="20" t="s">
        <v>409</v>
      </c>
      <c r="M55" s="20">
        <v>0.6</v>
      </c>
      <c r="N55" s="27" t="s">
        <v>66</v>
      </c>
      <c r="O55" s="27" t="s">
        <v>66</v>
      </c>
      <c r="P55" s="26" t="s">
        <v>66</v>
      </c>
      <c r="Q55" s="4" t="e">
        <v>#N/A</v>
      </c>
    </row>
    <row r="56" s="4" customFormat="1" ht="27" hidden="1" customHeight="1" spans="1:17">
      <c r="A56" s="18" t="s">
        <v>410</v>
      </c>
      <c r="B56" s="19" t="s">
        <v>411</v>
      </c>
      <c r="C56" s="18" t="str">
        <f>"661506409066600"</f>
        <v>661506409066600</v>
      </c>
      <c r="D56" s="20" t="s">
        <v>58</v>
      </c>
      <c r="E56" s="20" t="s">
        <v>412</v>
      </c>
      <c r="F56" s="20"/>
      <c r="G56" s="20" t="s">
        <v>60</v>
      </c>
      <c r="H56" s="20" t="s">
        <v>413</v>
      </c>
      <c r="I56" s="103" t="s">
        <v>104</v>
      </c>
      <c r="J56" s="20" t="s">
        <v>80</v>
      </c>
      <c r="K56" s="20" t="s">
        <v>89</v>
      </c>
      <c r="L56" s="20" t="s">
        <v>90</v>
      </c>
      <c r="M56" s="20">
        <v>0.6</v>
      </c>
      <c r="N56" s="27" t="s">
        <v>66</v>
      </c>
      <c r="O56" s="27" t="s">
        <v>66</v>
      </c>
      <c r="P56" s="26" t="s">
        <v>66</v>
      </c>
      <c r="Q56" s="4" t="e">
        <v>#N/A</v>
      </c>
    </row>
    <row r="57" s="4" customFormat="1" ht="27" hidden="1" customHeight="1" spans="1:17">
      <c r="A57" s="20" t="s">
        <v>34</v>
      </c>
      <c r="B57" s="21" t="s">
        <v>414</v>
      </c>
      <c r="C57" s="20" t="str">
        <f>"661506409064400"</f>
        <v>661506409064400</v>
      </c>
      <c r="D57" s="20" t="s">
        <v>58</v>
      </c>
      <c r="E57" s="20" t="s">
        <v>415</v>
      </c>
      <c r="F57" s="20">
        <v>18947090404</v>
      </c>
      <c r="G57" s="20" t="s">
        <v>143</v>
      </c>
      <c r="H57" s="20" t="s">
        <v>407</v>
      </c>
      <c r="I57" s="103" t="s">
        <v>190</v>
      </c>
      <c r="J57" s="20" t="s">
        <v>80</v>
      </c>
      <c r="K57" s="20" t="s">
        <v>416</v>
      </c>
      <c r="L57" s="20" t="s">
        <v>417</v>
      </c>
      <c r="M57" s="20">
        <v>0.6</v>
      </c>
      <c r="N57" s="27" t="s">
        <v>66</v>
      </c>
      <c r="O57" s="27" t="s">
        <v>66</v>
      </c>
      <c r="P57" s="26" t="s">
        <v>66</v>
      </c>
      <c r="Q57" s="4">
        <v>1</v>
      </c>
    </row>
    <row r="58" s="4" customFormat="1" ht="27" hidden="1" customHeight="1" spans="1:17">
      <c r="A58" s="20" t="s">
        <v>35</v>
      </c>
      <c r="B58" s="21" t="s">
        <v>418</v>
      </c>
      <c r="C58" s="20" t="str">
        <f>"661506409062600"</f>
        <v>661506409062600</v>
      </c>
      <c r="D58" s="20" t="s">
        <v>58</v>
      </c>
      <c r="E58" s="20" t="s">
        <v>419</v>
      </c>
      <c r="F58" s="20" t="s">
        <v>420</v>
      </c>
      <c r="G58" s="20" t="s">
        <v>60</v>
      </c>
      <c r="H58" s="20" t="s">
        <v>421</v>
      </c>
      <c r="I58" s="108" t="s">
        <v>422</v>
      </c>
      <c r="J58" s="20" t="s">
        <v>105</v>
      </c>
      <c r="K58" s="20" t="s">
        <v>423</v>
      </c>
      <c r="L58" s="20" t="s">
        <v>424</v>
      </c>
      <c r="M58" s="20">
        <v>0.6</v>
      </c>
      <c r="N58" s="27" t="s">
        <v>66</v>
      </c>
      <c r="O58" s="27" t="s">
        <v>66</v>
      </c>
      <c r="P58" s="26" t="s">
        <v>66</v>
      </c>
      <c r="Q58" s="4">
        <v>1</v>
      </c>
    </row>
    <row r="59" s="4" customFormat="1" ht="27" hidden="1" customHeight="1" spans="1:17">
      <c r="A59" s="20" t="s">
        <v>36</v>
      </c>
      <c r="B59" s="21" t="s">
        <v>425</v>
      </c>
      <c r="C59" s="20" t="str">
        <f>"661506408960500"</f>
        <v>661506408960500</v>
      </c>
      <c r="D59" s="20" t="s">
        <v>58</v>
      </c>
      <c r="E59" s="20" t="s">
        <v>426</v>
      </c>
      <c r="F59" s="20" t="s">
        <v>427</v>
      </c>
      <c r="G59" s="20" t="s">
        <v>60</v>
      </c>
      <c r="H59" s="20" t="s">
        <v>270</v>
      </c>
      <c r="I59" s="20"/>
      <c r="J59" s="20" t="s">
        <v>63</v>
      </c>
      <c r="K59" s="20" t="s">
        <v>428</v>
      </c>
      <c r="L59" s="20" t="s">
        <v>429</v>
      </c>
      <c r="M59" s="20">
        <v>0.6</v>
      </c>
      <c r="N59" s="40" t="s">
        <v>430</v>
      </c>
      <c r="O59" s="40" t="s">
        <v>116</v>
      </c>
      <c r="P59" s="26" t="s">
        <v>68</v>
      </c>
      <c r="Q59" s="4">
        <v>1</v>
      </c>
    </row>
    <row r="60" s="3" customFormat="1" ht="27" hidden="1" customHeight="1" spans="1:17">
      <c r="A60" s="20" t="s">
        <v>37</v>
      </c>
      <c r="B60" s="21" t="s">
        <v>431</v>
      </c>
      <c r="C60" s="20" t="str">
        <f>"661506408920500"</f>
        <v>661506408920500</v>
      </c>
      <c r="D60" s="18" t="s">
        <v>58</v>
      </c>
      <c r="E60" s="18" t="s">
        <v>432</v>
      </c>
      <c r="F60" s="18" t="s">
        <v>433</v>
      </c>
      <c r="G60" s="18" t="s">
        <v>60</v>
      </c>
      <c r="H60" s="18" t="s">
        <v>144</v>
      </c>
      <c r="I60" s="18"/>
      <c r="J60" s="18" t="s">
        <v>136</v>
      </c>
      <c r="K60" s="18" t="s">
        <v>434</v>
      </c>
      <c r="L60" s="18" t="s">
        <v>435</v>
      </c>
      <c r="M60" s="18">
        <v>0.6</v>
      </c>
      <c r="N60" s="30" t="s">
        <v>436</v>
      </c>
      <c r="O60" s="30" t="s">
        <v>116</v>
      </c>
      <c r="P60" s="43" t="s">
        <v>68</v>
      </c>
      <c r="Q60" s="3">
        <v>1</v>
      </c>
    </row>
    <row r="61" s="4" customFormat="1" ht="27" hidden="1" customHeight="1" spans="1:17">
      <c r="A61" s="20" t="s">
        <v>38</v>
      </c>
      <c r="B61" s="21" t="s">
        <v>437</v>
      </c>
      <c r="C61" s="20" t="str">
        <f>"661506408918700"</f>
        <v>661506408918700</v>
      </c>
      <c r="D61" s="20" t="s">
        <v>58</v>
      </c>
      <c r="E61" s="20" t="s">
        <v>438</v>
      </c>
      <c r="F61" s="20">
        <v>18504778809</v>
      </c>
      <c r="G61" s="20" t="s">
        <v>60</v>
      </c>
      <c r="H61" s="20" t="s">
        <v>439</v>
      </c>
      <c r="I61" s="110" t="s">
        <v>88</v>
      </c>
      <c r="J61" s="20" t="s">
        <v>105</v>
      </c>
      <c r="K61" s="20" t="s">
        <v>440</v>
      </c>
      <c r="L61" s="20" t="s">
        <v>441</v>
      </c>
      <c r="M61" s="20">
        <v>0.6</v>
      </c>
      <c r="N61" s="27" t="s">
        <v>66</v>
      </c>
      <c r="O61" s="27" t="s">
        <v>66</v>
      </c>
      <c r="P61" s="26" t="s">
        <v>66</v>
      </c>
      <c r="Q61" s="4">
        <v>1</v>
      </c>
    </row>
    <row r="62" s="3" customFormat="1" ht="27" hidden="1" customHeight="1" spans="1:17">
      <c r="A62" s="20" t="s">
        <v>39</v>
      </c>
      <c r="B62" s="21" t="s">
        <v>442</v>
      </c>
      <c r="C62" s="20" t="str">
        <f>"661506408910800"</f>
        <v>661506408910800</v>
      </c>
      <c r="D62" s="18" t="s">
        <v>58</v>
      </c>
      <c r="E62" s="18" t="s">
        <v>443</v>
      </c>
      <c r="F62" s="18" t="s">
        <v>444</v>
      </c>
      <c r="G62" s="18" t="s">
        <v>143</v>
      </c>
      <c r="H62" s="18" t="s">
        <v>234</v>
      </c>
      <c r="I62" s="18"/>
      <c r="J62" s="18" t="s">
        <v>105</v>
      </c>
      <c r="K62" s="18" t="s">
        <v>445</v>
      </c>
      <c r="L62" s="18" t="s">
        <v>446</v>
      </c>
      <c r="M62" s="18">
        <v>0.6</v>
      </c>
      <c r="N62" s="44" t="s">
        <v>66</v>
      </c>
      <c r="O62" s="44" t="s">
        <v>66</v>
      </c>
      <c r="P62" s="37" t="s">
        <v>66</v>
      </c>
      <c r="Q62" s="3">
        <v>1</v>
      </c>
    </row>
    <row r="63" s="4" customFormat="1" ht="27" hidden="1" customHeight="1" spans="1:17">
      <c r="A63" s="20" t="s">
        <v>447</v>
      </c>
      <c r="B63" s="21" t="s">
        <v>448</v>
      </c>
      <c r="C63" s="20" t="str">
        <f>"661506408910700"</f>
        <v>661506408910700</v>
      </c>
      <c r="D63" s="20" t="s">
        <v>292</v>
      </c>
      <c r="E63" s="20" t="s">
        <v>449</v>
      </c>
      <c r="F63" s="20" t="s">
        <v>450</v>
      </c>
      <c r="G63" s="20" t="s">
        <v>60</v>
      </c>
      <c r="H63" s="20" t="s">
        <v>451</v>
      </c>
      <c r="I63" s="20"/>
      <c r="J63" s="20" t="s">
        <v>228</v>
      </c>
      <c r="K63" s="20" t="s">
        <v>452</v>
      </c>
      <c r="L63" s="20" t="s">
        <v>453</v>
      </c>
      <c r="M63" s="20">
        <v>0.6</v>
      </c>
      <c r="N63" s="27" t="s">
        <v>66</v>
      </c>
      <c r="O63" s="27" t="s">
        <v>66</v>
      </c>
      <c r="P63" s="31" t="s">
        <v>66</v>
      </c>
      <c r="Q63" s="4" t="e">
        <v>#N/A</v>
      </c>
    </row>
    <row r="64" s="4" customFormat="1" ht="27" hidden="1" customHeight="1" spans="1:17">
      <c r="A64" s="18" t="s">
        <v>40</v>
      </c>
      <c r="B64" s="19" t="s">
        <v>454</v>
      </c>
      <c r="C64" s="18" t="str">
        <f>"661506408908500"</f>
        <v>661506408908500</v>
      </c>
      <c r="D64" s="20" t="s">
        <v>455</v>
      </c>
      <c r="E64" s="20" t="s">
        <v>456</v>
      </c>
      <c r="F64" s="20" t="s">
        <v>457</v>
      </c>
      <c r="G64" s="20" t="s">
        <v>60</v>
      </c>
      <c r="H64" s="20" t="s">
        <v>103</v>
      </c>
      <c r="I64" s="20"/>
      <c r="J64" s="20" t="s">
        <v>146</v>
      </c>
      <c r="K64" s="20" t="s">
        <v>458</v>
      </c>
      <c r="L64" s="20" t="s">
        <v>459</v>
      </c>
      <c r="M64" s="20">
        <v>0.6</v>
      </c>
      <c r="N64" s="27" t="s">
        <v>66</v>
      </c>
      <c r="O64" s="27" t="s">
        <v>66</v>
      </c>
      <c r="P64" s="31" t="s">
        <v>66</v>
      </c>
      <c r="Q64" s="4">
        <v>1</v>
      </c>
    </row>
    <row r="65" s="4" customFormat="1" ht="27" hidden="1" customHeight="1" spans="1:17">
      <c r="A65" s="18" t="s">
        <v>41</v>
      </c>
      <c r="B65" s="19" t="s">
        <v>460</v>
      </c>
      <c r="C65" s="18" t="str">
        <f>"661506408906400"</f>
        <v>661506408906400</v>
      </c>
      <c r="D65" s="20" t="s">
        <v>58</v>
      </c>
      <c r="E65" s="20" t="s">
        <v>461</v>
      </c>
      <c r="F65" s="20">
        <v>18647738999</v>
      </c>
      <c r="G65" s="20" t="s">
        <v>60</v>
      </c>
      <c r="H65" s="20" t="s">
        <v>256</v>
      </c>
      <c r="I65" s="20"/>
      <c r="J65" s="20" t="s">
        <v>80</v>
      </c>
      <c r="K65" s="20" t="s">
        <v>169</v>
      </c>
      <c r="L65" s="20" t="s">
        <v>170</v>
      </c>
      <c r="M65" s="20">
        <v>0.6</v>
      </c>
      <c r="N65" s="41" t="s">
        <v>66</v>
      </c>
      <c r="O65" s="41" t="s">
        <v>66</v>
      </c>
      <c r="P65" s="37" t="s">
        <v>66</v>
      </c>
      <c r="Q65" s="4">
        <v>1</v>
      </c>
    </row>
    <row r="66" s="3" customFormat="1" ht="27" hidden="1" customHeight="1" spans="1:17">
      <c r="A66" s="20" t="s">
        <v>462</v>
      </c>
      <c r="B66" s="21" t="s">
        <v>463</v>
      </c>
      <c r="C66" s="20" t="str">
        <f>"661506408886500"</f>
        <v>661506408886500</v>
      </c>
      <c r="D66" s="18" t="s">
        <v>464</v>
      </c>
      <c r="E66" s="18" t="s">
        <v>465</v>
      </c>
      <c r="F66" s="18"/>
      <c r="G66" s="18" t="s">
        <v>143</v>
      </c>
      <c r="H66" s="18" t="s">
        <v>284</v>
      </c>
      <c r="I66" s="105" t="s">
        <v>466</v>
      </c>
      <c r="J66" s="18" t="s">
        <v>80</v>
      </c>
      <c r="K66" s="18" t="s">
        <v>169</v>
      </c>
      <c r="L66" s="18" t="s">
        <v>170</v>
      </c>
      <c r="M66" s="18">
        <v>0.6</v>
      </c>
      <c r="N66" s="30" t="s">
        <v>436</v>
      </c>
      <c r="O66" s="30" t="s">
        <v>116</v>
      </c>
      <c r="P66" s="26" t="s">
        <v>68</v>
      </c>
      <c r="Q66" s="3" t="e">
        <v>#N/A</v>
      </c>
    </row>
    <row r="67" s="4" customFormat="1" ht="27" hidden="1" customHeight="1" spans="1:17">
      <c r="A67" s="20" t="s">
        <v>467</v>
      </c>
      <c r="B67" s="21" t="s">
        <v>468</v>
      </c>
      <c r="C67" s="20" t="str">
        <f>"661506408886400"</f>
        <v>661506408886400</v>
      </c>
      <c r="D67" s="20" t="s">
        <v>58</v>
      </c>
      <c r="E67" s="20" t="s">
        <v>469</v>
      </c>
      <c r="F67" s="20" t="s">
        <v>470</v>
      </c>
      <c r="G67" s="20" t="s">
        <v>143</v>
      </c>
      <c r="H67" s="20" t="s">
        <v>471</v>
      </c>
      <c r="I67" s="108" t="s">
        <v>168</v>
      </c>
      <c r="J67" s="20" t="s">
        <v>136</v>
      </c>
      <c r="K67" s="20" t="s">
        <v>472</v>
      </c>
      <c r="L67" s="20" t="s">
        <v>473</v>
      </c>
      <c r="M67" s="20">
        <v>0.6</v>
      </c>
      <c r="N67" s="27" t="s">
        <v>66</v>
      </c>
      <c r="O67" s="27" t="s">
        <v>66</v>
      </c>
      <c r="P67" s="26" t="s">
        <v>66</v>
      </c>
      <c r="Q67" s="4" t="e">
        <v>#N/A</v>
      </c>
    </row>
    <row r="68" s="3" customFormat="1" ht="27" hidden="1" customHeight="1" spans="1:17">
      <c r="A68" s="20" t="s">
        <v>474</v>
      </c>
      <c r="B68" s="21" t="s">
        <v>475</v>
      </c>
      <c r="C68" s="20" t="str">
        <f>"661506408884400"</f>
        <v>661506408884400</v>
      </c>
      <c r="D68" s="18" t="s">
        <v>58</v>
      </c>
      <c r="E68" s="18" t="s">
        <v>476</v>
      </c>
      <c r="F68" s="18" t="s">
        <v>477</v>
      </c>
      <c r="G68" s="18" t="s">
        <v>60</v>
      </c>
      <c r="H68" s="18" t="s">
        <v>471</v>
      </c>
      <c r="I68" s="105" t="s">
        <v>478</v>
      </c>
      <c r="J68" s="18" t="s">
        <v>80</v>
      </c>
      <c r="K68" s="18" t="s">
        <v>169</v>
      </c>
      <c r="L68" s="18" t="s">
        <v>170</v>
      </c>
      <c r="M68" s="18">
        <v>0.6</v>
      </c>
      <c r="N68" s="32" t="s">
        <v>66</v>
      </c>
      <c r="O68" s="32" t="s">
        <v>66</v>
      </c>
      <c r="P68" s="37" t="s">
        <v>66</v>
      </c>
      <c r="Q68" s="3" t="e">
        <v>#N/A</v>
      </c>
    </row>
    <row r="69" s="4" customFormat="1" ht="27" customHeight="1" spans="1:17">
      <c r="A69" s="18" t="s">
        <v>479</v>
      </c>
      <c r="B69" s="19" t="s">
        <v>480</v>
      </c>
      <c r="C69" s="18" t="str">
        <f>"661506408882500"</f>
        <v>661506408882500</v>
      </c>
      <c r="D69" s="20" t="s">
        <v>58</v>
      </c>
      <c r="E69" s="20" t="s">
        <v>481</v>
      </c>
      <c r="F69" s="20"/>
      <c r="G69" s="20" t="s">
        <v>60</v>
      </c>
      <c r="H69" s="20" t="s">
        <v>482</v>
      </c>
      <c r="I69" s="108" t="s">
        <v>154</v>
      </c>
      <c r="J69" s="20" t="s">
        <v>80</v>
      </c>
      <c r="K69" s="20" t="s">
        <v>89</v>
      </c>
      <c r="L69" s="20" t="s">
        <v>90</v>
      </c>
      <c r="M69" s="20">
        <v>0.6</v>
      </c>
      <c r="N69" s="27" t="s">
        <v>66</v>
      </c>
      <c r="O69" s="27" t="s">
        <v>66</v>
      </c>
      <c r="P69" s="26" t="s">
        <v>66</v>
      </c>
      <c r="Q69" s="4" t="e">
        <v>#N/A</v>
      </c>
    </row>
    <row r="70" s="3" customFormat="1" ht="27" customHeight="1" spans="1:17">
      <c r="A70" s="18" t="s">
        <v>483</v>
      </c>
      <c r="B70" s="19" t="s">
        <v>484</v>
      </c>
      <c r="C70" s="18" t="str">
        <f>"661506408860400"</f>
        <v>661506408860400</v>
      </c>
      <c r="D70" s="18" t="s">
        <v>58</v>
      </c>
      <c r="E70" s="18" t="s">
        <v>485</v>
      </c>
      <c r="F70" s="18"/>
      <c r="G70" s="18" t="s">
        <v>60</v>
      </c>
      <c r="H70" s="18" t="s">
        <v>486</v>
      </c>
      <c r="I70" s="105" t="s">
        <v>487</v>
      </c>
      <c r="J70" s="18" t="s">
        <v>80</v>
      </c>
      <c r="K70" s="18" t="s">
        <v>169</v>
      </c>
      <c r="L70" s="18" t="s">
        <v>170</v>
      </c>
      <c r="M70" s="18">
        <v>0.6</v>
      </c>
      <c r="N70" s="28" t="s">
        <v>66</v>
      </c>
      <c r="O70" s="28" t="s">
        <v>66</v>
      </c>
      <c r="P70" s="26" t="s">
        <v>66</v>
      </c>
      <c r="Q70" s="3" t="e">
        <v>#N/A</v>
      </c>
    </row>
    <row r="71" s="4" customFormat="1" ht="27" customHeight="1" spans="1:17">
      <c r="A71" s="18" t="s">
        <v>488</v>
      </c>
      <c r="B71" s="19" t="s">
        <v>489</v>
      </c>
      <c r="C71" s="18" t="str">
        <f>"661506408852900"</f>
        <v>661506408852900</v>
      </c>
      <c r="D71" s="20" t="s">
        <v>58</v>
      </c>
      <c r="E71" s="20" t="s">
        <v>490</v>
      </c>
      <c r="F71" s="20">
        <v>13847701675</v>
      </c>
      <c r="G71" s="20" t="s">
        <v>143</v>
      </c>
      <c r="H71" s="20" t="s">
        <v>153</v>
      </c>
      <c r="I71" s="20"/>
      <c r="J71" s="20" t="s">
        <v>105</v>
      </c>
      <c r="K71" s="20" t="s">
        <v>491</v>
      </c>
      <c r="L71" s="20" t="s">
        <v>492</v>
      </c>
      <c r="M71" s="20">
        <v>0.6</v>
      </c>
      <c r="N71" s="40" t="s">
        <v>116</v>
      </c>
      <c r="O71" s="40" t="s">
        <v>430</v>
      </c>
      <c r="P71" s="26" t="s">
        <v>68</v>
      </c>
      <c r="Q71" s="4" t="e">
        <v>#N/A</v>
      </c>
    </row>
    <row r="72" s="3" customFormat="1" ht="27" hidden="1" customHeight="1" spans="1:17">
      <c r="A72" s="20" t="s">
        <v>493</v>
      </c>
      <c r="B72" s="21" t="s">
        <v>494</v>
      </c>
      <c r="C72" s="20" t="str">
        <f>"661506408740800"</f>
        <v>661506408740800</v>
      </c>
      <c r="D72" s="18" t="s">
        <v>495</v>
      </c>
      <c r="E72" s="18" t="s">
        <v>496</v>
      </c>
      <c r="F72" s="18" t="s">
        <v>497</v>
      </c>
      <c r="G72" s="18" t="s">
        <v>60</v>
      </c>
      <c r="H72" s="18" t="s">
        <v>498</v>
      </c>
      <c r="I72" s="18"/>
      <c r="J72" s="18" t="s">
        <v>228</v>
      </c>
      <c r="K72" s="50" t="s">
        <v>499</v>
      </c>
      <c r="L72" s="18" t="s">
        <v>500</v>
      </c>
      <c r="M72" s="18">
        <v>0.6</v>
      </c>
      <c r="N72" s="25" t="s">
        <v>116</v>
      </c>
      <c r="O72" s="25" t="s">
        <v>501</v>
      </c>
      <c r="P72" s="26" t="s">
        <v>68</v>
      </c>
      <c r="Q72" s="3" t="e">
        <v>#N/A</v>
      </c>
    </row>
    <row r="73" s="3" customFormat="1" ht="27" hidden="1" customHeight="1" spans="1:17">
      <c r="A73" s="20" t="s">
        <v>502</v>
      </c>
      <c r="B73" s="21" t="s">
        <v>503</v>
      </c>
      <c r="C73" s="20" t="str">
        <f>"661506408738400"</f>
        <v>661506408738400</v>
      </c>
      <c r="D73" s="18" t="s">
        <v>58</v>
      </c>
      <c r="E73" s="18" t="s">
        <v>504</v>
      </c>
      <c r="F73" s="18" t="s">
        <v>505</v>
      </c>
      <c r="G73" s="18" t="s">
        <v>60</v>
      </c>
      <c r="H73" s="18" t="s">
        <v>153</v>
      </c>
      <c r="I73" s="18"/>
      <c r="J73" s="18" t="s">
        <v>221</v>
      </c>
      <c r="K73" s="18" t="s">
        <v>506</v>
      </c>
      <c r="L73" s="18" t="s">
        <v>507</v>
      </c>
      <c r="M73" s="18">
        <v>0.6</v>
      </c>
      <c r="N73" s="30" t="s">
        <v>116</v>
      </c>
      <c r="O73" s="30" t="s">
        <v>508</v>
      </c>
      <c r="P73" s="26" t="s">
        <v>68</v>
      </c>
      <c r="Q73" s="3" t="e">
        <v>#N/A</v>
      </c>
    </row>
    <row r="74" s="4" customFormat="1" ht="27" customHeight="1" spans="1:17">
      <c r="A74" s="18" t="s">
        <v>509</v>
      </c>
      <c r="B74" s="19" t="s">
        <v>510</v>
      </c>
      <c r="C74" s="18" t="str">
        <f>"661506408720500"</f>
        <v>661506408720500</v>
      </c>
      <c r="D74" s="20" t="s">
        <v>58</v>
      </c>
      <c r="E74" s="20" t="s">
        <v>511</v>
      </c>
      <c r="F74" s="20" t="s">
        <v>512</v>
      </c>
      <c r="G74" s="20" t="s">
        <v>60</v>
      </c>
      <c r="H74" s="20" t="s">
        <v>256</v>
      </c>
      <c r="I74" s="103" t="s">
        <v>466</v>
      </c>
      <c r="J74" s="20" t="s">
        <v>63</v>
      </c>
      <c r="K74" s="20" t="s">
        <v>513</v>
      </c>
      <c r="L74" s="20" t="s">
        <v>514</v>
      </c>
      <c r="M74" s="20">
        <v>0.6</v>
      </c>
      <c r="N74" s="27" t="s">
        <v>66</v>
      </c>
      <c r="O74" s="27" t="s">
        <v>66</v>
      </c>
      <c r="P74" s="26" t="s">
        <v>66</v>
      </c>
      <c r="Q74" s="4" t="e">
        <v>#N/A</v>
      </c>
    </row>
    <row r="75" s="4" customFormat="1" ht="27" hidden="1" customHeight="1" spans="1:17">
      <c r="A75" s="20" t="s">
        <v>515</v>
      </c>
      <c r="B75" s="21" t="s">
        <v>516</v>
      </c>
      <c r="C75" s="20" t="str">
        <f>"661506408694500"</f>
        <v>661506408694500</v>
      </c>
      <c r="D75" s="20" t="s">
        <v>58</v>
      </c>
      <c r="E75" s="20" t="s">
        <v>511</v>
      </c>
      <c r="F75" s="20" t="s">
        <v>512</v>
      </c>
      <c r="G75" s="20" t="s">
        <v>60</v>
      </c>
      <c r="H75" s="20" t="s">
        <v>256</v>
      </c>
      <c r="I75" s="103" t="s">
        <v>466</v>
      </c>
      <c r="J75" s="20" t="s">
        <v>176</v>
      </c>
      <c r="K75" s="20" t="s">
        <v>517</v>
      </c>
      <c r="L75" s="20" t="s">
        <v>518</v>
      </c>
      <c r="M75" s="20">
        <v>0.6</v>
      </c>
      <c r="N75" s="27" t="s">
        <v>66</v>
      </c>
      <c r="O75" s="27" t="s">
        <v>66</v>
      </c>
      <c r="P75" s="26" t="s">
        <v>66</v>
      </c>
      <c r="Q75" s="4" t="e">
        <v>#N/A</v>
      </c>
    </row>
    <row r="76" s="4" customFormat="1" ht="27" hidden="1" customHeight="1" spans="1:17">
      <c r="A76" s="18" t="s">
        <v>519</v>
      </c>
      <c r="B76" s="19" t="s">
        <v>520</v>
      </c>
      <c r="C76" s="18" t="str">
        <f>"661506408682600"</f>
        <v>661506408682600</v>
      </c>
      <c r="D76" s="20" t="s">
        <v>58</v>
      </c>
      <c r="E76" s="20" t="s">
        <v>521</v>
      </c>
      <c r="F76" s="20" t="s">
        <v>522</v>
      </c>
      <c r="G76" s="20" t="s">
        <v>60</v>
      </c>
      <c r="H76" s="20" t="s">
        <v>523</v>
      </c>
      <c r="I76" s="109" t="s">
        <v>95</v>
      </c>
      <c r="J76" s="20" t="s">
        <v>128</v>
      </c>
      <c r="K76" s="20" t="s">
        <v>263</v>
      </c>
      <c r="L76" s="20" t="s">
        <v>264</v>
      </c>
      <c r="M76" s="20">
        <v>0.6</v>
      </c>
      <c r="N76" s="27" t="s">
        <v>66</v>
      </c>
      <c r="O76" s="27" t="s">
        <v>66</v>
      </c>
      <c r="P76" s="26" t="s">
        <v>66</v>
      </c>
      <c r="Q76" s="4" t="e">
        <v>#N/A</v>
      </c>
    </row>
    <row r="77" s="4" customFormat="1" ht="27" hidden="1" customHeight="1" spans="1:17">
      <c r="A77" s="20" t="s">
        <v>524</v>
      </c>
      <c r="B77" s="21" t="s">
        <v>525</v>
      </c>
      <c r="C77" s="20" t="str">
        <f>"661506408588600"</f>
        <v>661506408588600</v>
      </c>
      <c r="D77" s="20" t="s">
        <v>58</v>
      </c>
      <c r="E77" s="20" t="s">
        <v>526</v>
      </c>
      <c r="F77" s="20"/>
      <c r="G77" s="20" t="s">
        <v>60</v>
      </c>
      <c r="H77" s="20" t="s">
        <v>167</v>
      </c>
      <c r="I77" s="108" t="s">
        <v>527</v>
      </c>
      <c r="J77" s="20" t="s">
        <v>128</v>
      </c>
      <c r="K77" s="20" t="s">
        <v>528</v>
      </c>
      <c r="L77" s="20" t="s">
        <v>529</v>
      </c>
      <c r="M77" s="20">
        <v>0.6</v>
      </c>
      <c r="N77" s="40" t="s">
        <v>66</v>
      </c>
      <c r="O77" s="40" t="s">
        <v>66</v>
      </c>
      <c r="P77" s="37" t="s">
        <v>163</v>
      </c>
      <c r="Q77" s="4" t="e">
        <v>#N/A</v>
      </c>
    </row>
    <row r="78" s="4" customFormat="1" ht="27" hidden="1" customHeight="1" spans="1:17">
      <c r="A78" s="18" t="s">
        <v>530</v>
      </c>
      <c r="B78" s="19" t="s">
        <v>531</v>
      </c>
      <c r="C78" s="18" t="str">
        <f>"661506408588500"</f>
        <v>661506408588500</v>
      </c>
      <c r="D78" s="20" t="s">
        <v>532</v>
      </c>
      <c r="E78" s="20" t="s">
        <v>533</v>
      </c>
      <c r="F78" s="20" t="s">
        <v>534</v>
      </c>
      <c r="G78" s="20" t="s">
        <v>60</v>
      </c>
      <c r="H78" s="20" t="s">
        <v>535</v>
      </c>
      <c r="I78" s="109" t="s">
        <v>241</v>
      </c>
      <c r="J78" s="20" t="s">
        <v>105</v>
      </c>
      <c r="K78" s="20" t="s">
        <v>536</v>
      </c>
      <c r="L78" s="20" t="s">
        <v>537</v>
      </c>
      <c r="M78" s="20">
        <v>0.6</v>
      </c>
      <c r="N78" s="27" t="s">
        <v>66</v>
      </c>
      <c r="O78" s="27" t="s">
        <v>66</v>
      </c>
      <c r="P78" s="26" t="s">
        <v>66</v>
      </c>
      <c r="Q78" s="4" t="e">
        <v>#N/A</v>
      </c>
    </row>
    <row r="79" s="4" customFormat="1" ht="27" hidden="1" customHeight="1" spans="1:17">
      <c r="A79" s="20" t="s">
        <v>538</v>
      </c>
      <c r="B79" s="21" t="s">
        <v>539</v>
      </c>
      <c r="C79" s="20" t="str">
        <f>"661506408582800"</f>
        <v>661506408582800</v>
      </c>
      <c r="D79" s="20" t="s">
        <v>58</v>
      </c>
      <c r="E79" s="20"/>
      <c r="F79" s="20"/>
      <c r="G79" s="20" t="s">
        <v>60</v>
      </c>
      <c r="H79" s="20" t="s">
        <v>167</v>
      </c>
      <c r="I79" s="108" t="s">
        <v>112</v>
      </c>
      <c r="J79" s="20" t="s">
        <v>128</v>
      </c>
      <c r="K79" s="20" t="s">
        <v>263</v>
      </c>
      <c r="L79" s="20" t="s">
        <v>264</v>
      </c>
      <c r="M79" s="20">
        <v>0.6</v>
      </c>
      <c r="N79" s="27" t="s">
        <v>66</v>
      </c>
      <c r="O79" s="27" t="s">
        <v>66</v>
      </c>
      <c r="P79" s="26" t="s">
        <v>66</v>
      </c>
      <c r="Q79" s="4" t="e">
        <v>#N/A</v>
      </c>
    </row>
    <row r="80" s="4" customFormat="1" ht="27" hidden="1" customHeight="1" spans="1:17">
      <c r="A80" s="20" t="s">
        <v>540</v>
      </c>
      <c r="B80" s="21" t="s">
        <v>541</v>
      </c>
      <c r="C80" s="20" t="str">
        <f>"661506408582600"</f>
        <v>661506408582600</v>
      </c>
      <c r="D80" s="20" t="s">
        <v>58</v>
      </c>
      <c r="E80" s="20" t="s">
        <v>542</v>
      </c>
      <c r="F80" s="20" t="s">
        <v>543</v>
      </c>
      <c r="G80" s="20" t="s">
        <v>143</v>
      </c>
      <c r="H80" s="20" t="s">
        <v>544</v>
      </c>
      <c r="I80" s="20"/>
      <c r="J80" s="20" t="s">
        <v>128</v>
      </c>
      <c r="K80" s="20" t="s">
        <v>545</v>
      </c>
      <c r="L80" s="20" t="s">
        <v>546</v>
      </c>
      <c r="M80" s="20">
        <v>0.6</v>
      </c>
      <c r="N80" s="40" t="s">
        <v>354</v>
      </c>
      <c r="O80" s="40" t="s">
        <v>116</v>
      </c>
      <c r="P80" s="26" t="s">
        <v>68</v>
      </c>
      <c r="Q80" s="4" t="e">
        <v>#N/A</v>
      </c>
    </row>
    <row r="81" s="4" customFormat="1" ht="27" hidden="1" customHeight="1" spans="1:17">
      <c r="A81" s="20" t="s">
        <v>547</v>
      </c>
      <c r="B81" s="21" t="s">
        <v>548</v>
      </c>
      <c r="C81" s="20" t="str">
        <f>"661506408580400"</f>
        <v>661506408580400</v>
      </c>
      <c r="D81" s="20" t="s">
        <v>58</v>
      </c>
      <c r="E81" s="20" t="s">
        <v>549</v>
      </c>
      <c r="F81" s="20" t="s">
        <v>550</v>
      </c>
      <c r="G81" s="20" t="s">
        <v>60</v>
      </c>
      <c r="H81" s="20" t="s">
        <v>153</v>
      </c>
      <c r="I81" s="20"/>
      <c r="J81" s="20" t="s">
        <v>551</v>
      </c>
      <c r="K81" s="20" t="s">
        <v>552</v>
      </c>
      <c r="L81" s="20" t="s">
        <v>553</v>
      </c>
      <c r="M81" s="20">
        <v>0.6</v>
      </c>
      <c r="N81" s="41" t="s">
        <v>66</v>
      </c>
      <c r="O81" s="41" t="s">
        <v>66</v>
      </c>
      <c r="P81" s="37" t="s">
        <v>66</v>
      </c>
      <c r="Q81" s="4" t="e">
        <v>#N/A</v>
      </c>
    </row>
    <row r="82" s="4" customFormat="1" ht="27" hidden="1" customHeight="1" spans="1:17">
      <c r="A82" s="18" t="s">
        <v>554</v>
      </c>
      <c r="B82" s="19" t="s">
        <v>555</v>
      </c>
      <c r="C82" s="18" t="str">
        <f>"661506408578500"</f>
        <v>661506408578500</v>
      </c>
      <c r="D82" s="20" t="s">
        <v>58</v>
      </c>
      <c r="E82" s="20" t="s">
        <v>556</v>
      </c>
      <c r="F82" s="20"/>
      <c r="G82" s="20" t="s">
        <v>143</v>
      </c>
      <c r="H82" s="20" t="s">
        <v>557</v>
      </c>
      <c r="I82" s="108" t="s">
        <v>160</v>
      </c>
      <c r="J82" s="20" t="s">
        <v>128</v>
      </c>
      <c r="K82" s="20" t="s">
        <v>263</v>
      </c>
      <c r="L82" s="20" t="s">
        <v>264</v>
      </c>
      <c r="M82" s="20">
        <v>0.6</v>
      </c>
      <c r="N82" s="27" t="s">
        <v>66</v>
      </c>
      <c r="O82" s="27" t="s">
        <v>66</v>
      </c>
      <c r="P82" s="26" t="s">
        <v>66</v>
      </c>
      <c r="Q82" s="4" t="e">
        <v>#N/A</v>
      </c>
    </row>
    <row r="83" s="4" customFormat="1" ht="27" hidden="1" customHeight="1" spans="1:17">
      <c r="A83" s="20" t="s">
        <v>558</v>
      </c>
      <c r="B83" s="21" t="s">
        <v>559</v>
      </c>
      <c r="C83" s="20" t="str">
        <f>"661506408566500"</f>
        <v>661506408566500</v>
      </c>
      <c r="D83" s="20" t="s">
        <v>58</v>
      </c>
      <c r="E83" s="20" t="s">
        <v>560</v>
      </c>
      <c r="F83" s="20" t="s">
        <v>561</v>
      </c>
      <c r="G83" s="20" t="s">
        <v>60</v>
      </c>
      <c r="H83" s="20" t="s">
        <v>153</v>
      </c>
      <c r="I83" s="108" t="s">
        <v>562</v>
      </c>
      <c r="J83" s="20" t="s">
        <v>136</v>
      </c>
      <c r="K83" s="20" t="s">
        <v>563</v>
      </c>
      <c r="L83" s="20" t="s">
        <v>564</v>
      </c>
      <c r="M83" s="20">
        <v>0.6</v>
      </c>
      <c r="N83" s="40" t="s">
        <v>66</v>
      </c>
      <c r="O83" s="40" t="s">
        <v>66</v>
      </c>
      <c r="P83" s="37" t="s">
        <v>163</v>
      </c>
      <c r="Q83" s="4" t="e">
        <v>#N/A</v>
      </c>
    </row>
    <row r="84" s="4" customFormat="1" ht="27" hidden="1" customHeight="1" spans="1:17">
      <c r="A84" s="18" t="s">
        <v>565</v>
      </c>
      <c r="B84" s="19" t="s">
        <v>566</v>
      </c>
      <c r="C84" s="18" t="str">
        <f>"661506408562400"</f>
        <v>661506408562400</v>
      </c>
      <c r="D84" s="20" t="s">
        <v>58</v>
      </c>
      <c r="E84" s="20" t="s">
        <v>567</v>
      </c>
      <c r="F84" s="20"/>
      <c r="G84" s="20" t="s">
        <v>60</v>
      </c>
      <c r="H84" s="20" t="s">
        <v>568</v>
      </c>
      <c r="I84" s="103" t="s">
        <v>569</v>
      </c>
      <c r="J84" s="20" t="s">
        <v>136</v>
      </c>
      <c r="K84" s="20" t="s">
        <v>570</v>
      </c>
      <c r="L84" s="20" t="s">
        <v>214</v>
      </c>
      <c r="M84" s="20">
        <v>0.6</v>
      </c>
      <c r="N84" s="27" t="s">
        <v>66</v>
      </c>
      <c r="O84" s="27" t="s">
        <v>66</v>
      </c>
      <c r="P84" s="26" t="s">
        <v>66</v>
      </c>
      <c r="Q84" s="4" t="e">
        <v>#N/A</v>
      </c>
    </row>
    <row r="85" s="4" customFormat="1" ht="27" hidden="1" customHeight="1" spans="1:17">
      <c r="A85" s="20" t="s">
        <v>571</v>
      </c>
      <c r="B85" s="21" t="s">
        <v>572</v>
      </c>
      <c r="C85" s="20" t="str">
        <f>"661506408518500"</f>
        <v>661506408518500</v>
      </c>
      <c r="D85" s="20" t="s">
        <v>58</v>
      </c>
      <c r="E85" s="20" t="s">
        <v>573</v>
      </c>
      <c r="F85" s="20"/>
      <c r="G85" s="20" t="s">
        <v>60</v>
      </c>
      <c r="H85" s="20" t="s">
        <v>574</v>
      </c>
      <c r="I85" s="103" t="s">
        <v>575</v>
      </c>
      <c r="J85" s="20" t="s">
        <v>205</v>
      </c>
      <c r="K85" s="20" t="s">
        <v>576</v>
      </c>
      <c r="L85" s="20" t="s">
        <v>577</v>
      </c>
      <c r="M85" s="20">
        <v>0.6</v>
      </c>
      <c r="N85" s="27" t="s">
        <v>66</v>
      </c>
      <c r="O85" s="27" t="s">
        <v>66</v>
      </c>
      <c r="P85" s="26" t="s">
        <v>66</v>
      </c>
      <c r="Q85" s="4" t="e">
        <v>#N/A</v>
      </c>
    </row>
    <row r="86" s="4" customFormat="1" ht="27" hidden="1" customHeight="1" spans="1:17">
      <c r="A86" s="18" t="s">
        <v>578</v>
      </c>
      <c r="B86" s="19" t="s">
        <v>579</v>
      </c>
      <c r="C86" s="18" t="str">
        <f>"661506408468600"</f>
        <v>661506408468600</v>
      </c>
      <c r="D86" s="20" t="s">
        <v>580</v>
      </c>
      <c r="E86" s="20" t="s">
        <v>581</v>
      </c>
      <c r="F86" s="20" t="s">
        <v>582</v>
      </c>
      <c r="G86" s="20" t="s">
        <v>60</v>
      </c>
      <c r="H86" s="20" t="s">
        <v>583</v>
      </c>
      <c r="I86" s="103" t="s">
        <v>112</v>
      </c>
      <c r="J86" s="20" t="s">
        <v>128</v>
      </c>
      <c r="K86" s="20" t="s">
        <v>584</v>
      </c>
      <c r="L86" s="20" t="s">
        <v>585</v>
      </c>
      <c r="M86" s="20">
        <v>0.6</v>
      </c>
      <c r="N86" s="27" t="s">
        <v>66</v>
      </c>
      <c r="O86" s="27" t="s">
        <v>66</v>
      </c>
      <c r="P86" s="26" t="s">
        <v>66</v>
      </c>
      <c r="Q86" s="4" t="e">
        <v>#N/A</v>
      </c>
    </row>
    <row r="87" s="4" customFormat="1" ht="27" customHeight="1" spans="1:17">
      <c r="A87" s="18" t="s">
        <v>586</v>
      </c>
      <c r="B87" s="19" t="s">
        <v>587</v>
      </c>
      <c r="C87" s="18" t="str">
        <f>"661506408452500"</f>
        <v>661506408452500</v>
      </c>
      <c r="D87" s="20" t="s">
        <v>58</v>
      </c>
      <c r="E87" s="20" t="s">
        <v>588</v>
      </c>
      <c r="F87" s="20"/>
      <c r="G87" s="20" t="s">
        <v>60</v>
      </c>
      <c r="H87" s="20" t="s">
        <v>126</v>
      </c>
      <c r="I87" s="111" t="s">
        <v>104</v>
      </c>
      <c r="J87" s="20" t="s">
        <v>176</v>
      </c>
      <c r="K87" s="20" t="s">
        <v>589</v>
      </c>
      <c r="L87" s="20" t="s">
        <v>590</v>
      </c>
      <c r="M87" s="20">
        <v>0.6</v>
      </c>
      <c r="N87" s="27" t="s">
        <v>66</v>
      </c>
      <c r="O87" s="27" t="s">
        <v>66</v>
      </c>
      <c r="P87" s="26" t="s">
        <v>66</v>
      </c>
      <c r="Q87" s="4" t="e">
        <v>#N/A</v>
      </c>
    </row>
    <row r="88" s="4" customFormat="1" ht="27" hidden="1" customHeight="1" spans="1:17">
      <c r="A88" s="20" t="s">
        <v>591</v>
      </c>
      <c r="B88" s="21" t="s">
        <v>592</v>
      </c>
      <c r="C88" s="20" t="str">
        <f>"661506408432600"</f>
        <v>661506408432600</v>
      </c>
      <c r="D88" s="20" t="s">
        <v>58</v>
      </c>
      <c r="E88" s="20" t="s">
        <v>593</v>
      </c>
      <c r="F88" s="20">
        <v>13310344488</v>
      </c>
      <c r="G88" s="20" t="s">
        <v>143</v>
      </c>
      <c r="H88" s="20" t="s">
        <v>594</v>
      </c>
      <c r="I88" s="20"/>
      <c r="J88" s="20" t="s">
        <v>595</v>
      </c>
      <c r="K88" s="20" t="s">
        <v>596</v>
      </c>
      <c r="L88" s="20" t="s">
        <v>597</v>
      </c>
      <c r="M88" s="20">
        <v>0.6</v>
      </c>
      <c r="N88" s="41" t="s">
        <v>66</v>
      </c>
      <c r="O88" s="41" t="s">
        <v>66</v>
      </c>
      <c r="P88" s="37" t="s">
        <v>66</v>
      </c>
      <c r="Q88" s="4" t="e">
        <v>#N/A</v>
      </c>
    </row>
    <row r="89" s="4" customFormat="1" ht="27" customHeight="1" spans="1:17">
      <c r="A89" s="18" t="s">
        <v>598</v>
      </c>
      <c r="B89" s="19" t="s">
        <v>599</v>
      </c>
      <c r="C89" s="18" t="str">
        <f>"661506408424800"</f>
        <v>661506408424800</v>
      </c>
      <c r="D89" s="20" t="s">
        <v>58</v>
      </c>
      <c r="E89" s="20"/>
      <c r="F89" s="20"/>
      <c r="G89" s="20" t="s">
        <v>60</v>
      </c>
      <c r="H89" s="20" t="s">
        <v>600</v>
      </c>
      <c r="I89" s="108" t="s">
        <v>154</v>
      </c>
      <c r="J89" s="20" t="s">
        <v>80</v>
      </c>
      <c r="K89" s="20" t="s">
        <v>169</v>
      </c>
      <c r="L89" s="20" t="s">
        <v>170</v>
      </c>
      <c r="M89" s="20">
        <v>0.6</v>
      </c>
      <c r="N89" s="27" t="s">
        <v>66</v>
      </c>
      <c r="O89" s="27" t="s">
        <v>66</v>
      </c>
      <c r="P89" s="26" t="s">
        <v>66</v>
      </c>
      <c r="Q89" s="4" t="e">
        <v>#N/A</v>
      </c>
    </row>
    <row r="90" s="3" customFormat="1" ht="27" customHeight="1" spans="1:17">
      <c r="A90" s="18" t="s">
        <v>601</v>
      </c>
      <c r="B90" s="19" t="s">
        <v>602</v>
      </c>
      <c r="C90" s="18" t="str">
        <f>"661506408418700"</f>
        <v>661506408418700</v>
      </c>
      <c r="D90" s="18" t="s">
        <v>464</v>
      </c>
      <c r="E90" s="18" t="s">
        <v>603</v>
      </c>
      <c r="F90" s="18" t="s">
        <v>604</v>
      </c>
      <c r="G90" s="18" t="s">
        <v>60</v>
      </c>
      <c r="H90" s="18" t="s">
        <v>167</v>
      </c>
      <c r="I90" s="18"/>
      <c r="J90" s="18" t="s">
        <v>605</v>
      </c>
      <c r="K90" s="18" t="s">
        <v>606</v>
      </c>
      <c r="L90" s="18" t="s">
        <v>607</v>
      </c>
      <c r="M90" s="18">
        <v>0.6</v>
      </c>
      <c r="N90" s="30" t="s">
        <v>116</v>
      </c>
      <c r="O90" s="30" t="s">
        <v>430</v>
      </c>
      <c r="P90" s="26" t="s">
        <v>68</v>
      </c>
      <c r="Q90" s="3" t="e">
        <v>#N/A</v>
      </c>
    </row>
    <row r="91" s="3" customFormat="1" ht="27" hidden="1" customHeight="1" spans="1:17">
      <c r="A91" s="18" t="s">
        <v>608</v>
      </c>
      <c r="B91" s="19" t="s">
        <v>609</v>
      </c>
      <c r="C91" s="18" t="str">
        <f>"661506408416400"</f>
        <v>661506408416400</v>
      </c>
      <c r="D91" s="18" t="s">
        <v>58</v>
      </c>
      <c r="E91" s="18" t="s">
        <v>610</v>
      </c>
      <c r="F91" s="18">
        <v>13848122414</v>
      </c>
      <c r="G91" s="18" t="s">
        <v>60</v>
      </c>
      <c r="H91" s="18" t="s">
        <v>153</v>
      </c>
      <c r="I91" s="18"/>
      <c r="J91" s="18" t="s">
        <v>611</v>
      </c>
      <c r="K91" s="50" t="s">
        <v>612</v>
      </c>
      <c r="L91" s="18" t="s">
        <v>613</v>
      </c>
      <c r="M91" s="18">
        <v>0.6</v>
      </c>
      <c r="N91" s="25" t="s">
        <v>116</v>
      </c>
      <c r="O91" s="25" t="s">
        <v>614</v>
      </c>
      <c r="P91" s="26" t="s">
        <v>68</v>
      </c>
      <c r="Q91" s="3" t="e">
        <v>#N/A</v>
      </c>
    </row>
    <row r="92" s="3" customFormat="1" ht="27" hidden="1" customHeight="1" spans="1:17">
      <c r="A92" s="18" t="s">
        <v>615</v>
      </c>
      <c r="B92" s="19" t="s">
        <v>616</v>
      </c>
      <c r="C92" s="18" t="str">
        <f>"661506408392400"</f>
        <v>661506408392400</v>
      </c>
      <c r="D92" s="18" t="s">
        <v>58</v>
      </c>
      <c r="E92" s="18" t="s">
        <v>617</v>
      </c>
      <c r="F92" s="18" t="s">
        <v>618</v>
      </c>
      <c r="G92" s="18" t="s">
        <v>60</v>
      </c>
      <c r="H92" s="18" t="s">
        <v>153</v>
      </c>
      <c r="I92" s="105" t="s">
        <v>619</v>
      </c>
      <c r="J92" s="18" t="s">
        <v>176</v>
      </c>
      <c r="K92" s="18" t="s">
        <v>620</v>
      </c>
      <c r="L92" s="18" t="s">
        <v>621</v>
      </c>
      <c r="M92" s="18">
        <v>0.6</v>
      </c>
      <c r="N92" s="32" t="s">
        <v>66</v>
      </c>
      <c r="O92" s="32" t="s">
        <v>66</v>
      </c>
      <c r="P92" s="37" t="s">
        <v>66</v>
      </c>
      <c r="Q92" s="3" t="e">
        <v>#N/A</v>
      </c>
    </row>
    <row r="93" s="4" customFormat="1" ht="27" hidden="1" customHeight="1" spans="1:17">
      <c r="A93" s="20" t="s">
        <v>622</v>
      </c>
      <c r="B93" s="21" t="s">
        <v>623</v>
      </c>
      <c r="C93" s="20" t="str">
        <f>"661506408388700"</f>
        <v>661506408388700</v>
      </c>
      <c r="D93" s="20" t="s">
        <v>58</v>
      </c>
      <c r="E93" s="20" t="s">
        <v>624</v>
      </c>
      <c r="F93" s="20" t="s">
        <v>625</v>
      </c>
      <c r="G93" s="20" t="s">
        <v>60</v>
      </c>
      <c r="H93" s="20" t="s">
        <v>626</v>
      </c>
      <c r="I93" s="103" t="s">
        <v>88</v>
      </c>
      <c r="J93" s="20" t="s">
        <v>205</v>
      </c>
      <c r="K93" s="20" t="s">
        <v>214</v>
      </c>
      <c r="L93" s="20" t="s">
        <v>215</v>
      </c>
      <c r="M93" s="20">
        <v>0.6</v>
      </c>
      <c r="N93" s="27" t="s">
        <v>66</v>
      </c>
      <c r="O93" s="27" t="s">
        <v>66</v>
      </c>
      <c r="P93" s="26" t="s">
        <v>66</v>
      </c>
      <c r="Q93" s="4" t="e">
        <v>#N/A</v>
      </c>
    </row>
    <row r="94" s="3" customFormat="1" ht="27" hidden="1" customHeight="1" spans="1:17">
      <c r="A94" s="20" t="s">
        <v>627</v>
      </c>
      <c r="B94" s="21" t="s">
        <v>628</v>
      </c>
      <c r="C94" s="20" t="str">
        <f>"661506408388600"</f>
        <v>661506408388600</v>
      </c>
      <c r="D94" s="18" t="s">
        <v>58</v>
      </c>
      <c r="E94" s="18" t="s">
        <v>629</v>
      </c>
      <c r="F94" s="18" t="s">
        <v>630</v>
      </c>
      <c r="G94" s="18" t="s">
        <v>60</v>
      </c>
      <c r="H94" s="18" t="s">
        <v>486</v>
      </c>
      <c r="I94" s="18"/>
      <c r="J94" s="18" t="s">
        <v>631</v>
      </c>
      <c r="K94" s="18" t="s">
        <v>632</v>
      </c>
      <c r="L94" s="18" t="s">
        <v>633</v>
      </c>
      <c r="M94" s="18">
        <v>0.6</v>
      </c>
      <c r="N94" s="32" t="s">
        <v>66</v>
      </c>
      <c r="O94" s="32" t="s">
        <v>66</v>
      </c>
      <c r="P94" s="37" t="s">
        <v>66</v>
      </c>
      <c r="Q94" s="3" t="e">
        <v>#N/A</v>
      </c>
    </row>
    <row r="95" s="4" customFormat="1" ht="27" hidden="1" customHeight="1" spans="1:17">
      <c r="A95" s="20" t="s">
        <v>634</v>
      </c>
      <c r="B95" s="21" t="s">
        <v>635</v>
      </c>
      <c r="C95" s="20" t="str">
        <f>"661506408388500"</f>
        <v>661506408388500</v>
      </c>
      <c r="D95" s="20" t="s">
        <v>58</v>
      </c>
      <c r="E95" s="20" t="s">
        <v>636</v>
      </c>
      <c r="F95" s="20" t="s">
        <v>637</v>
      </c>
      <c r="G95" s="20" t="s">
        <v>60</v>
      </c>
      <c r="H95" s="20" t="s">
        <v>638</v>
      </c>
      <c r="I95" s="20"/>
      <c r="J95" s="20" t="s">
        <v>205</v>
      </c>
      <c r="K95" s="20" t="s">
        <v>639</v>
      </c>
      <c r="L95" s="20" t="s">
        <v>640</v>
      </c>
      <c r="M95" s="20">
        <v>0.6</v>
      </c>
      <c r="N95" s="41" t="s">
        <v>66</v>
      </c>
      <c r="O95" s="41" t="s">
        <v>66</v>
      </c>
      <c r="P95" s="37" t="s">
        <v>66</v>
      </c>
      <c r="Q95" s="4" t="e">
        <v>#N/A</v>
      </c>
    </row>
    <row r="96" s="3" customFormat="1" ht="27" hidden="1" customHeight="1" spans="1:17">
      <c r="A96" s="20" t="s">
        <v>641</v>
      </c>
      <c r="B96" s="21" t="s">
        <v>642</v>
      </c>
      <c r="C96" s="20" t="str">
        <f>"661506408388400"</f>
        <v>661506408388400</v>
      </c>
      <c r="D96" s="18" t="s">
        <v>58</v>
      </c>
      <c r="E96" s="18" t="s">
        <v>643</v>
      </c>
      <c r="F96" s="18" t="s">
        <v>644</v>
      </c>
      <c r="G96" s="18" t="s">
        <v>60</v>
      </c>
      <c r="H96" s="18" t="s">
        <v>407</v>
      </c>
      <c r="I96" s="18"/>
      <c r="J96" s="18" t="s">
        <v>128</v>
      </c>
      <c r="K96" s="18" t="s">
        <v>645</v>
      </c>
      <c r="L96" s="18" t="s">
        <v>646</v>
      </c>
      <c r="M96" s="18">
        <v>0.6</v>
      </c>
      <c r="N96" s="30" t="s">
        <v>116</v>
      </c>
      <c r="O96" s="30" t="s">
        <v>436</v>
      </c>
      <c r="P96" s="26" t="s">
        <v>68</v>
      </c>
      <c r="Q96" s="3" t="e">
        <v>#N/A</v>
      </c>
    </row>
    <row r="97" s="4" customFormat="1" ht="27" hidden="1" customHeight="1" spans="1:17">
      <c r="A97" s="20" t="s">
        <v>647</v>
      </c>
      <c r="B97" s="21" t="s">
        <v>648</v>
      </c>
      <c r="C97" s="20" t="str">
        <f>"661506408378500"</f>
        <v>661506408378500</v>
      </c>
      <c r="D97" s="20" t="s">
        <v>58</v>
      </c>
      <c r="E97" s="20" t="s">
        <v>649</v>
      </c>
      <c r="F97" s="20" t="s">
        <v>650</v>
      </c>
      <c r="G97" s="20" t="s">
        <v>60</v>
      </c>
      <c r="H97" s="20" t="s">
        <v>651</v>
      </c>
      <c r="I97" s="20"/>
      <c r="J97" s="20" t="s">
        <v>128</v>
      </c>
      <c r="K97" s="20" t="s">
        <v>652</v>
      </c>
      <c r="L97" s="20" t="s">
        <v>653</v>
      </c>
      <c r="M97" s="20">
        <v>0.6</v>
      </c>
      <c r="N97" s="41" t="s">
        <v>66</v>
      </c>
      <c r="O97" s="41" t="s">
        <v>66</v>
      </c>
      <c r="P97" s="37" t="s">
        <v>66</v>
      </c>
      <c r="Q97" s="4" t="e">
        <v>#N/A</v>
      </c>
    </row>
    <row r="98" s="5" customFormat="1" ht="40.5" hidden="1" spans="1:17">
      <c r="A98" s="20" t="s">
        <v>654</v>
      </c>
      <c r="B98" s="21" t="s">
        <v>655</v>
      </c>
      <c r="C98" s="20" t="str">
        <f>"661506408298400"</f>
        <v>661506408298400</v>
      </c>
      <c r="D98" s="40" t="s">
        <v>58</v>
      </c>
      <c r="E98" s="40" t="s">
        <v>656</v>
      </c>
      <c r="F98" s="40" t="s">
        <v>657</v>
      </c>
      <c r="G98" s="40" t="s">
        <v>60</v>
      </c>
      <c r="H98" s="40" t="s">
        <v>153</v>
      </c>
      <c r="I98" s="40" t="s">
        <v>175</v>
      </c>
      <c r="J98" s="40" t="s">
        <v>105</v>
      </c>
      <c r="K98" s="40" t="s">
        <v>658</v>
      </c>
      <c r="L98" s="40" t="s">
        <v>659</v>
      </c>
      <c r="M98" s="40">
        <v>0.6</v>
      </c>
      <c r="N98" s="52" t="s">
        <v>66</v>
      </c>
      <c r="O98" s="52"/>
      <c r="P98" s="26" t="s">
        <v>66</v>
      </c>
      <c r="Q98" s="5" t="e">
        <v>#N/A</v>
      </c>
    </row>
    <row r="99" s="5" customFormat="1" ht="40.5" hidden="1" spans="1:17">
      <c r="A99" s="20" t="s">
        <v>660</v>
      </c>
      <c r="B99" s="21" t="s">
        <v>661</v>
      </c>
      <c r="C99" s="20" t="str">
        <f>"661506408252600"</f>
        <v>661506408252600</v>
      </c>
      <c r="D99" s="40" t="s">
        <v>58</v>
      </c>
      <c r="E99" s="40" t="s">
        <v>662</v>
      </c>
      <c r="F99" s="40" t="s">
        <v>663</v>
      </c>
      <c r="G99" s="40" t="s">
        <v>60</v>
      </c>
      <c r="H99" s="40" t="s">
        <v>144</v>
      </c>
      <c r="I99" s="112" t="s">
        <v>145</v>
      </c>
      <c r="J99" s="40" t="s">
        <v>205</v>
      </c>
      <c r="K99" s="40" t="s">
        <v>664</v>
      </c>
      <c r="L99" s="40" t="s">
        <v>665</v>
      </c>
      <c r="M99" s="40">
        <v>0.6</v>
      </c>
      <c r="N99" s="52" t="s">
        <v>66</v>
      </c>
      <c r="O99" s="52"/>
      <c r="P99" s="26" t="s">
        <v>66</v>
      </c>
      <c r="Q99" s="5" t="e">
        <v>#N/A</v>
      </c>
    </row>
    <row r="100" s="5" customFormat="1" ht="40.5" hidden="1" spans="1:17">
      <c r="A100" s="20" t="s">
        <v>666</v>
      </c>
      <c r="B100" s="21" t="s">
        <v>667</v>
      </c>
      <c r="C100" s="20" t="str">
        <f>"661506408250600"</f>
        <v>661506408250600</v>
      </c>
      <c r="D100" s="40" t="s">
        <v>58</v>
      </c>
      <c r="E100" s="40" t="s">
        <v>668</v>
      </c>
      <c r="F100" s="40" t="s">
        <v>669</v>
      </c>
      <c r="G100" s="40" t="s">
        <v>60</v>
      </c>
      <c r="H100" s="40" t="s">
        <v>153</v>
      </c>
      <c r="I100" s="40" t="s">
        <v>175</v>
      </c>
      <c r="J100" s="40" t="s">
        <v>340</v>
      </c>
      <c r="K100" s="40" t="s">
        <v>670</v>
      </c>
      <c r="L100" s="40" t="s">
        <v>671</v>
      </c>
      <c r="M100" s="40">
        <v>0.6</v>
      </c>
      <c r="N100" s="52" t="s">
        <v>66</v>
      </c>
      <c r="O100" s="52"/>
      <c r="P100" s="26" t="s">
        <v>66</v>
      </c>
      <c r="Q100" s="5" t="e">
        <v>#N/A</v>
      </c>
    </row>
    <row r="101" s="5" customFormat="1" ht="40.5" hidden="1" spans="1:17">
      <c r="A101" s="20" t="s">
        <v>672</v>
      </c>
      <c r="B101" s="21" t="s">
        <v>673</v>
      </c>
      <c r="C101" s="20" t="str">
        <f>"661506408244900"</f>
        <v>661506408244900</v>
      </c>
      <c r="D101" s="40" t="s">
        <v>58</v>
      </c>
      <c r="E101" s="40" t="s">
        <v>668</v>
      </c>
      <c r="F101" s="45" t="s">
        <v>674</v>
      </c>
      <c r="G101" s="40" t="s">
        <v>60</v>
      </c>
      <c r="H101" s="40" t="s">
        <v>153</v>
      </c>
      <c r="I101" s="40" t="s">
        <v>198</v>
      </c>
      <c r="J101" s="40" t="s">
        <v>146</v>
      </c>
      <c r="K101" s="40" t="s">
        <v>675</v>
      </c>
      <c r="L101" s="40" t="s">
        <v>676</v>
      </c>
      <c r="M101" s="40">
        <v>0.6</v>
      </c>
      <c r="N101" s="52" t="s">
        <v>66</v>
      </c>
      <c r="O101" s="52"/>
      <c r="P101" s="26" t="s">
        <v>66</v>
      </c>
      <c r="Q101" s="5" t="e">
        <v>#N/A</v>
      </c>
    </row>
    <row r="102" s="6" customFormat="1" ht="40.5" hidden="1" spans="1:17">
      <c r="A102" s="20" t="s">
        <v>677</v>
      </c>
      <c r="B102" s="21" t="s">
        <v>678</v>
      </c>
      <c r="C102" s="20" t="str">
        <f>"661506408182800"</f>
        <v>661506408182800</v>
      </c>
      <c r="D102" s="46" t="s">
        <v>58</v>
      </c>
      <c r="E102" s="46" t="s">
        <v>679</v>
      </c>
      <c r="F102" s="47" t="s">
        <v>680</v>
      </c>
      <c r="G102" s="46" t="s">
        <v>143</v>
      </c>
      <c r="H102" s="46" t="s">
        <v>681</v>
      </c>
      <c r="I102" s="46" t="s">
        <v>271</v>
      </c>
      <c r="J102" s="46" t="s">
        <v>682</v>
      </c>
      <c r="K102" s="46" t="s">
        <v>683</v>
      </c>
      <c r="L102" s="46" t="s">
        <v>684</v>
      </c>
      <c r="M102" s="46">
        <v>0.6</v>
      </c>
      <c r="N102" s="52" t="s">
        <v>66</v>
      </c>
      <c r="O102" s="52"/>
      <c r="P102" s="26" t="s">
        <v>68</v>
      </c>
      <c r="Q102" s="6" t="e">
        <v>#N/A</v>
      </c>
    </row>
    <row r="103" s="5" customFormat="1" ht="40.5" spans="1:17">
      <c r="A103" s="18" t="s">
        <v>685</v>
      </c>
      <c r="B103" s="19" t="s">
        <v>686</v>
      </c>
      <c r="C103" s="18" t="str">
        <f>"661506408180400"</f>
        <v>661506408180400</v>
      </c>
      <c r="D103" s="40" t="s">
        <v>58</v>
      </c>
      <c r="E103" s="40" t="s">
        <v>687</v>
      </c>
      <c r="F103" s="45"/>
      <c r="G103" s="40" t="s">
        <v>143</v>
      </c>
      <c r="H103" s="40" t="s">
        <v>486</v>
      </c>
      <c r="I103" s="112" t="s">
        <v>688</v>
      </c>
      <c r="J103" s="40" t="s">
        <v>128</v>
      </c>
      <c r="K103" s="40" t="s">
        <v>263</v>
      </c>
      <c r="L103" s="40" t="s">
        <v>264</v>
      </c>
      <c r="M103" s="40">
        <v>0.6</v>
      </c>
      <c r="N103" s="52" t="s">
        <v>66</v>
      </c>
      <c r="O103" s="52"/>
      <c r="P103" s="26" t="s">
        <v>66</v>
      </c>
      <c r="Q103" s="5" t="e">
        <v>#N/A</v>
      </c>
    </row>
    <row r="104" s="5" customFormat="1" ht="27" hidden="1" spans="1:17">
      <c r="A104" s="20" t="s">
        <v>689</v>
      </c>
      <c r="B104" s="21" t="s">
        <v>690</v>
      </c>
      <c r="C104" s="20" t="str">
        <f>"661506408170400"</f>
        <v>661506408170400</v>
      </c>
      <c r="D104" s="40" t="s">
        <v>495</v>
      </c>
      <c r="E104" s="40" t="s">
        <v>691</v>
      </c>
      <c r="F104" s="45" t="s">
        <v>692</v>
      </c>
      <c r="G104" s="40" t="s">
        <v>60</v>
      </c>
      <c r="H104" s="40" t="s">
        <v>378</v>
      </c>
      <c r="I104" s="40"/>
      <c r="J104" s="40" t="s">
        <v>96</v>
      </c>
      <c r="K104" s="40" t="s">
        <v>693</v>
      </c>
      <c r="L104" s="40" t="s">
        <v>694</v>
      </c>
      <c r="M104" s="40">
        <v>0.6</v>
      </c>
      <c r="N104" s="52" t="s">
        <v>66</v>
      </c>
      <c r="O104" s="52"/>
      <c r="P104" s="26" t="s">
        <v>66</v>
      </c>
      <c r="Q104" s="5" t="e">
        <v>#N/A</v>
      </c>
    </row>
    <row r="105" s="5" customFormat="1" ht="27" hidden="1" spans="1:17">
      <c r="A105" s="20" t="s">
        <v>695</v>
      </c>
      <c r="B105" s="21" t="s">
        <v>696</v>
      </c>
      <c r="C105" s="20" t="str">
        <f>"661506408136400"</f>
        <v>661506408136400</v>
      </c>
      <c r="D105" s="40" t="s">
        <v>697</v>
      </c>
      <c r="E105" s="40" t="s">
        <v>698</v>
      </c>
      <c r="F105" s="45" t="s">
        <v>699</v>
      </c>
      <c r="G105" s="40" t="s">
        <v>60</v>
      </c>
      <c r="H105" s="40" t="s">
        <v>126</v>
      </c>
      <c r="I105" s="112" t="s">
        <v>184</v>
      </c>
      <c r="J105" s="40" t="s">
        <v>80</v>
      </c>
      <c r="K105" s="40" t="s">
        <v>700</v>
      </c>
      <c r="L105" s="40" t="s">
        <v>701</v>
      </c>
      <c r="M105" s="40">
        <v>0.6</v>
      </c>
      <c r="N105" s="52" t="s">
        <v>66</v>
      </c>
      <c r="O105" s="52"/>
      <c r="P105" s="26" t="s">
        <v>66</v>
      </c>
      <c r="Q105" s="5" t="e">
        <v>#N/A</v>
      </c>
    </row>
    <row r="106" s="5" customFormat="1" ht="40.5" hidden="1" spans="1:17">
      <c r="A106" s="20" t="s">
        <v>702</v>
      </c>
      <c r="B106" s="21" t="s">
        <v>703</v>
      </c>
      <c r="C106" s="20" t="str">
        <f>"661506408133400"</f>
        <v>661506408133400</v>
      </c>
      <c r="D106" s="40" t="s">
        <v>58</v>
      </c>
      <c r="E106" s="40" t="s">
        <v>704</v>
      </c>
      <c r="F106" s="45" t="s">
        <v>705</v>
      </c>
      <c r="G106" s="40" t="s">
        <v>60</v>
      </c>
      <c r="H106" s="40" t="s">
        <v>153</v>
      </c>
      <c r="I106" s="40"/>
      <c r="J106" s="40" t="s">
        <v>80</v>
      </c>
      <c r="K106" s="40" t="s">
        <v>169</v>
      </c>
      <c r="L106" s="40" t="s">
        <v>170</v>
      </c>
      <c r="M106" s="40">
        <v>0.6</v>
      </c>
      <c r="N106" s="52" t="s">
        <v>66</v>
      </c>
      <c r="O106" s="52"/>
      <c r="P106" s="26" t="s">
        <v>163</v>
      </c>
      <c r="Q106" s="5" t="e">
        <v>#N/A</v>
      </c>
    </row>
    <row r="107" s="5" customFormat="1" ht="40.5" hidden="1" spans="1:17">
      <c r="A107" s="20" t="s">
        <v>706</v>
      </c>
      <c r="B107" s="21" t="s">
        <v>707</v>
      </c>
      <c r="C107" s="20" t="str">
        <f>"661506408132900"</f>
        <v>661506408132900</v>
      </c>
      <c r="D107" s="40" t="s">
        <v>58</v>
      </c>
      <c r="E107" s="40" t="s">
        <v>172</v>
      </c>
      <c r="F107" s="40" t="s">
        <v>708</v>
      </c>
      <c r="G107" s="40" t="s">
        <v>60</v>
      </c>
      <c r="H107" s="40" t="s">
        <v>709</v>
      </c>
      <c r="I107" s="40" t="s">
        <v>710</v>
      </c>
      <c r="J107" s="40" t="s">
        <v>105</v>
      </c>
      <c r="K107" s="40" t="s">
        <v>711</v>
      </c>
      <c r="L107" s="40" t="s">
        <v>712</v>
      </c>
      <c r="M107" s="40">
        <v>0.6</v>
      </c>
      <c r="N107" s="52" t="s">
        <v>66</v>
      </c>
      <c r="O107" s="52"/>
      <c r="P107" s="26" t="s">
        <v>66</v>
      </c>
      <c r="Q107" s="5" t="e">
        <v>#N/A</v>
      </c>
    </row>
    <row r="108" s="5" customFormat="1" ht="40.5" hidden="1" spans="1:17">
      <c r="A108" s="20" t="s">
        <v>713</v>
      </c>
      <c r="B108" s="21" t="s">
        <v>714</v>
      </c>
      <c r="C108" s="20" t="str">
        <f>"661506408132400"</f>
        <v>661506408132400</v>
      </c>
      <c r="D108" s="40" t="s">
        <v>58</v>
      </c>
      <c r="E108" s="40" t="s">
        <v>715</v>
      </c>
      <c r="F108" s="45" t="s">
        <v>716</v>
      </c>
      <c r="G108" s="40" t="s">
        <v>60</v>
      </c>
      <c r="H108" s="40" t="s">
        <v>717</v>
      </c>
      <c r="I108" s="40"/>
      <c r="J108" s="40" t="s">
        <v>80</v>
      </c>
      <c r="K108" s="40" t="s">
        <v>718</v>
      </c>
      <c r="L108" s="40" t="s">
        <v>719</v>
      </c>
      <c r="M108" s="40">
        <v>0.6</v>
      </c>
      <c r="N108" s="52" t="s">
        <v>66</v>
      </c>
      <c r="O108" s="52"/>
      <c r="P108" s="26" t="s">
        <v>66</v>
      </c>
      <c r="Q108" s="5" t="e">
        <v>#N/A</v>
      </c>
    </row>
    <row r="109" s="5" customFormat="1" ht="40.5" hidden="1" spans="1:17">
      <c r="A109" s="20" t="s">
        <v>720</v>
      </c>
      <c r="B109" s="21" t="s">
        <v>721</v>
      </c>
      <c r="C109" s="20" t="str">
        <f>"661506408020400"</f>
        <v>661506408020400</v>
      </c>
      <c r="D109" s="40" t="s">
        <v>464</v>
      </c>
      <c r="E109" s="40" t="s">
        <v>722</v>
      </c>
      <c r="F109" s="40" t="s">
        <v>723</v>
      </c>
      <c r="G109" s="40" t="s">
        <v>60</v>
      </c>
      <c r="H109" s="40" t="s">
        <v>256</v>
      </c>
      <c r="I109" s="112" t="s">
        <v>175</v>
      </c>
      <c r="J109" s="40" t="s">
        <v>80</v>
      </c>
      <c r="K109" s="40" t="s">
        <v>169</v>
      </c>
      <c r="L109" s="40" t="s">
        <v>170</v>
      </c>
      <c r="M109" s="40">
        <v>0.6</v>
      </c>
      <c r="N109" s="52" t="s">
        <v>66</v>
      </c>
      <c r="O109" s="52"/>
      <c r="P109" s="26" t="s">
        <v>68</v>
      </c>
      <c r="Q109" s="5" t="e">
        <v>#N/A</v>
      </c>
    </row>
    <row r="110" s="5" customFormat="1" ht="40.5" spans="1:17">
      <c r="A110" s="18" t="s">
        <v>724</v>
      </c>
      <c r="B110" s="19" t="s">
        <v>725</v>
      </c>
      <c r="C110" s="18" t="str">
        <f>"661506407986400"</f>
        <v>661506407986400</v>
      </c>
      <c r="D110" s="40" t="s">
        <v>58</v>
      </c>
      <c r="E110" s="40" t="s">
        <v>726</v>
      </c>
      <c r="F110" s="45" t="s">
        <v>727</v>
      </c>
      <c r="G110" s="40" t="s">
        <v>60</v>
      </c>
      <c r="H110" s="40" t="s">
        <v>413</v>
      </c>
      <c r="I110" s="40"/>
      <c r="J110" s="40" t="s">
        <v>136</v>
      </c>
      <c r="K110" s="40" t="s">
        <v>728</v>
      </c>
      <c r="L110" s="40" t="s">
        <v>729</v>
      </c>
      <c r="M110" s="40">
        <v>0.6</v>
      </c>
      <c r="N110" s="46" t="s">
        <v>730</v>
      </c>
      <c r="O110" s="46" t="s">
        <v>731</v>
      </c>
      <c r="P110" s="26" t="s">
        <v>68</v>
      </c>
      <c r="Q110" s="5" t="e">
        <v>#N/A</v>
      </c>
    </row>
    <row r="111" s="7" customFormat="1" ht="40.5" hidden="1" spans="1:17">
      <c r="A111" s="18" t="s">
        <v>732</v>
      </c>
      <c r="B111" s="19" t="s">
        <v>733</v>
      </c>
      <c r="C111" s="18" t="str">
        <f>"661506407960500"</f>
        <v>661506407960500</v>
      </c>
      <c r="D111" s="41" t="s">
        <v>58</v>
      </c>
      <c r="E111" s="41" t="s">
        <v>734</v>
      </c>
      <c r="F111" s="41" t="s">
        <v>735</v>
      </c>
      <c r="G111" s="41" t="s">
        <v>60</v>
      </c>
      <c r="H111" s="41" t="s">
        <v>153</v>
      </c>
      <c r="I111" s="113" t="s">
        <v>688</v>
      </c>
      <c r="J111" s="41" t="s">
        <v>105</v>
      </c>
      <c r="K111" s="41" t="s">
        <v>736</v>
      </c>
      <c r="L111" s="41" t="s">
        <v>737</v>
      </c>
      <c r="M111" s="41">
        <v>0.6</v>
      </c>
      <c r="N111" s="53" t="s">
        <v>66</v>
      </c>
      <c r="O111" s="53"/>
      <c r="P111" s="26" t="s">
        <v>66</v>
      </c>
      <c r="Q111" s="7" t="e">
        <v>#N/A</v>
      </c>
    </row>
    <row r="112" s="5" customFormat="1" ht="40.5" hidden="1" spans="1:17">
      <c r="A112" s="18" t="s">
        <v>738</v>
      </c>
      <c r="B112" s="19" t="s">
        <v>739</v>
      </c>
      <c r="C112" s="18" t="str">
        <f>"661506407862800"</f>
        <v>661506407862800</v>
      </c>
      <c r="D112" s="40" t="s">
        <v>58</v>
      </c>
      <c r="E112" s="40" t="s">
        <v>740</v>
      </c>
      <c r="F112" s="45" t="s">
        <v>741</v>
      </c>
      <c r="G112" s="40" t="s">
        <v>60</v>
      </c>
      <c r="H112" s="40" t="s">
        <v>212</v>
      </c>
      <c r="I112" s="40"/>
      <c r="J112" s="40" t="s">
        <v>80</v>
      </c>
      <c r="K112" s="40" t="s">
        <v>169</v>
      </c>
      <c r="L112" s="40" t="s">
        <v>170</v>
      </c>
      <c r="M112" s="40">
        <v>0.6</v>
      </c>
      <c r="N112" s="52" t="s">
        <v>66</v>
      </c>
      <c r="O112" s="52"/>
      <c r="P112" s="26" t="s">
        <v>66</v>
      </c>
      <c r="Q112" s="5" t="e">
        <v>#N/A</v>
      </c>
    </row>
    <row r="113" s="5" customFormat="1" ht="40.5" hidden="1" spans="1:17">
      <c r="A113" s="18" t="s">
        <v>742</v>
      </c>
      <c r="B113" s="19" t="s">
        <v>743</v>
      </c>
      <c r="C113" s="18" t="str">
        <f>"661506407846600"</f>
        <v>661506407846600</v>
      </c>
      <c r="D113" s="40" t="s">
        <v>58</v>
      </c>
      <c r="E113" s="40" t="s">
        <v>744</v>
      </c>
      <c r="F113" s="45" t="s">
        <v>745</v>
      </c>
      <c r="G113" s="40" t="s">
        <v>60</v>
      </c>
      <c r="H113" s="40" t="s">
        <v>746</v>
      </c>
      <c r="I113" s="112" t="s">
        <v>397</v>
      </c>
      <c r="J113" s="40" t="s">
        <v>205</v>
      </c>
      <c r="K113" s="40" t="s">
        <v>214</v>
      </c>
      <c r="L113" s="40" t="s">
        <v>215</v>
      </c>
      <c r="M113" s="40">
        <v>0.6</v>
      </c>
      <c r="N113" s="52" t="s">
        <v>66</v>
      </c>
      <c r="O113" s="52"/>
      <c r="P113" s="26" t="s">
        <v>66</v>
      </c>
      <c r="Q113" s="5" t="e">
        <v>#N/A</v>
      </c>
    </row>
    <row r="114" s="5" customFormat="1" ht="40.5" hidden="1" spans="1:17">
      <c r="A114" s="20" t="s">
        <v>747</v>
      </c>
      <c r="B114" s="21" t="s">
        <v>748</v>
      </c>
      <c r="C114" s="20" t="str">
        <f>"661506407839700"</f>
        <v>661506407839700</v>
      </c>
      <c r="D114" s="40" t="s">
        <v>58</v>
      </c>
      <c r="E114" s="40" t="s">
        <v>749</v>
      </c>
      <c r="F114" s="40" t="s">
        <v>750</v>
      </c>
      <c r="G114" s="40" t="s">
        <v>143</v>
      </c>
      <c r="H114" s="40" t="s">
        <v>126</v>
      </c>
      <c r="I114" s="112" t="s">
        <v>751</v>
      </c>
      <c r="J114" s="40" t="s">
        <v>146</v>
      </c>
      <c r="K114" s="40" t="s">
        <v>752</v>
      </c>
      <c r="L114" s="40" t="s">
        <v>753</v>
      </c>
      <c r="M114" s="40">
        <v>0.6</v>
      </c>
      <c r="N114" s="52" t="s">
        <v>66</v>
      </c>
      <c r="O114" s="52"/>
      <c r="P114" s="26" t="s">
        <v>163</v>
      </c>
      <c r="Q114" s="5" t="e">
        <v>#N/A</v>
      </c>
    </row>
    <row r="115" s="5" customFormat="1" ht="40.5" hidden="1" spans="1:17">
      <c r="A115" s="18" t="s">
        <v>754</v>
      </c>
      <c r="B115" s="19" t="s">
        <v>755</v>
      </c>
      <c r="C115" s="18" t="str">
        <f>"661506407830600"</f>
        <v>661506407830600</v>
      </c>
      <c r="D115" s="40" t="s">
        <v>58</v>
      </c>
      <c r="E115" s="40" t="s">
        <v>756</v>
      </c>
      <c r="F115" s="45"/>
      <c r="G115" s="40" t="s">
        <v>60</v>
      </c>
      <c r="H115" s="40" t="s">
        <v>757</v>
      </c>
      <c r="I115" s="40"/>
      <c r="J115" s="40" t="s">
        <v>128</v>
      </c>
      <c r="K115" s="40" t="s">
        <v>122</v>
      </c>
      <c r="L115" s="40" t="s">
        <v>123</v>
      </c>
      <c r="M115" s="40">
        <v>0.6</v>
      </c>
      <c r="N115" s="52" t="s">
        <v>66</v>
      </c>
      <c r="O115" s="52"/>
      <c r="P115" s="26" t="s">
        <v>68</v>
      </c>
      <c r="Q115" s="5" t="e">
        <v>#N/A</v>
      </c>
    </row>
    <row r="116" s="5" customFormat="1" ht="40.5" hidden="1" spans="1:17">
      <c r="A116" s="20" t="s">
        <v>758</v>
      </c>
      <c r="B116" s="21" t="s">
        <v>759</v>
      </c>
      <c r="C116" s="20" t="str">
        <f>"661506407814700"</f>
        <v>661506407814700</v>
      </c>
      <c r="D116" s="40" t="s">
        <v>532</v>
      </c>
      <c r="E116" s="40" t="s">
        <v>760</v>
      </c>
      <c r="F116" s="45" t="s">
        <v>761</v>
      </c>
      <c r="G116" s="40" t="s">
        <v>143</v>
      </c>
      <c r="H116" s="40" t="s">
        <v>295</v>
      </c>
      <c r="I116" s="40" t="s">
        <v>762</v>
      </c>
      <c r="J116" s="40" t="s">
        <v>763</v>
      </c>
      <c r="K116" s="40" t="s">
        <v>764</v>
      </c>
      <c r="L116" s="40" t="s">
        <v>765</v>
      </c>
      <c r="M116" s="40">
        <v>0.6</v>
      </c>
      <c r="N116" s="52" t="s">
        <v>66</v>
      </c>
      <c r="O116" s="52"/>
      <c r="P116" s="26" t="s">
        <v>68</v>
      </c>
      <c r="Q116" s="5" t="e">
        <v>#N/A</v>
      </c>
    </row>
    <row r="117" s="5" customFormat="1" ht="40.5" hidden="1" spans="1:17">
      <c r="A117" s="18" t="s">
        <v>766</v>
      </c>
      <c r="B117" s="19" t="s">
        <v>767</v>
      </c>
      <c r="C117" s="18" t="str">
        <f>"661506407808700"</f>
        <v>661506407808700</v>
      </c>
      <c r="D117" s="40" t="s">
        <v>58</v>
      </c>
      <c r="E117" s="40" t="s">
        <v>768</v>
      </c>
      <c r="F117" s="45" t="s">
        <v>769</v>
      </c>
      <c r="G117" s="40" t="s">
        <v>60</v>
      </c>
      <c r="H117" s="40" t="s">
        <v>167</v>
      </c>
      <c r="I117" s="40" t="s">
        <v>198</v>
      </c>
      <c r="J117" s="40" t="s">
        <v>128</v>
      </c>
      <c r="K117" s="40" t="s">
        <v>770</v>
      </c>
      <c r="L117" s="40" t="s">
        <v>771</v>
      </c>
      <c r="M117" s="40">
        <v>0.6</v>
      </c>
      <c r="N117" s="52" t="s">
        <v>66</v>
      </c>
      <c r="O117" s="52"/>
      <c r="P117" s="26" t="s">
        <v>66</v>
      </c>
      <c r="Q117" s="5" t="e">
        <v>#N/A</v>
      </c>
    </row>
    <row r="118" s="6" customFormat="1" ht="40.5" hidden="1" spans="1:17">
      <c r="A118" s="20" t="s">
        <v>772</v>
      </c>
      <c r="B118" s="21" t="s">
        <v>773</v>
      </c>
      <c r="C118" s="20" t="str">
        <f>"661506407794600"</f>
        <v>661506407794600</v>
      </c>
      <c r="D118" s="46" t="s">
        <v>58</v>
      </c>
      <c r="E118" s="46" t="s">
        <v>774</v>
      </c>
      <c r="F118" s="47" t="s">
        <v>775</v>
      </c>
      <c r="G118" s="46" t="s">
        <v>60</v>
      </c>
      <c r="H118" s="46" t="s">
        <v>776</v>
      </c>
      <c r="I118" s="114" t="s">
        <v>154</v>
      </c>
      <c r="J118" s="46" t="s">
        <v>80</v>
      </c>
      <c r="K118" s="46" t="s">
        <v>169</v>
      </c>
      <c r="L118" s="46" t="s">
        <v>170</v>
      </c>
      <c r="M118" s="46">
        <v>0.6</v>
      </c>
      <c r="N118" s="52" t="s">
        <v>66</v>
      </c>
      <c r="O118" s="52"/>
      <c r="P118" s="26" t="s">
        <v>66</v>
      </c>
      <c r="Q118" s="6" t="e">
        <v>#N/A</v>
      </c>
    </row>
    <row r="119" s="5" customFormat="1" ht="40.5" hidden="1" spans="1:17">
      <c r="A119" s="40" t="s">
        <v>777</v>
      </c>
      <c r="B119" s="48" t="s">
        <v>778</v>
      </c>
      <c r="C119" s="40" t="str">
        <f>"661506407716400"</f>
        <v>661506407716400</v>
      </c>
      <c r="D119" s="40" t="s">
        <v>58</v>
      </c>
      <c r="E119" s="40" t="s">
        <v>779</v>
      </c>
      <c r="F119" s="40" t="s">
        <v>780</v>
      </c>
      <c r="G119" s="40" t="s">
        <v>60</v>
      </c>
      <c r="H119" s="40" t="s">
        <v>781</v>
      </c>
      <c r="I119" s="112" t="s">
        <v>619</v>
      </c>
      <c r="J119" s="40" t="s">
        <v>128</v>
      </c>
      <c r="K119" s="40" t="s">
        <v>782</v>
      </c>
      <c r="L119" s="40" t="s">
        <v>783</v>
      </c>
      <c r="M119" s="40">
        <v>0.6</v>
      </c>
      <c r="N119" s="52" t="s">
        <v>66</v>
      </c>
      <c r="O119" s="52"/>
      <c r="P119" s="26" t="s">
        <v>66</v>
      </c>
      <c r="Q119" s="5" t="e">
        <v>#N/A</v>
      </c>
    </row>
    <row r="120" s="5" customFormat="1" ht="40.5" hidden="1" spans="1:17">
      <c r="A120" s="40" t="s">
        <v>784</v>
      </c>
      <c r="B120" s="48" t="s">
        <v>785</v>
      </c>
      <c r="C120" s="40" t="str">
        <f>"661506407698500"</f>
        <v>661506407698500</v>
      </c>
      <c r="D120" s="40" t="s">
        <v>58</v>
      </c>
      <c r="E120" s="40" t="s">
        <v>786</v>
      </c>
      <c r="F120" s="45" t="s">
        <v>787</v>
      </c>
      <c r="G120" s="40" t="s">
        <v>60</v>
      </c>
      <c r="H120" s="40" t="s">
        <v>153</v>
      </c>
      <c r="I120" s="40"/>
      <c r="J120" s="40" t="s">
        <v>136</v>
      </c>
      <c r="K120" s="40" t="s">
        <v>788</v>
      </c>
      <c r="L120" s="40" t="s">
        <v>789</v>
      </c>
      <c r="M120" s="40">
        <v>0.6</v>
      </c>
      <c r="N120" s="52" t="s">
        <v>66</v>
      </c>
      <c r="O120" s="52"/>
      <c r="P120" s="26" t="s">
        <v>66</v>
      </c>
      <c r="Q120" s="5" t="e">
        <v>#N/A</v>
      </c>
    </row>
    <row r="121" s="5" customFormat="1" ht="40.5" hidden="1" spans="1:17">
      <c r="A121" s="40" t="s">
        <v>790</v>
      </c>
      <c r="B121" s="48" t="s">
        <v>791</v>
      </c>
      <c r="C121" s="40" t="str">
        <f>"661506407696900"</f>
        <v>661506407696900</v>
      </c>
      <c r="D121" s="40" t="s">
        <v>58</v>
      </c>
      <c r="E121" s="40" t="s">
        <v>792</v>
      </c>
      <c r="F121" s="45" t="s">
        <v>793</v>
      </c>
      <c r="G121" s="40" t="s">
        <v>60</v>
      </c>
      <c r="H121" s="40" t="s">
        <v>256</v>
      </c>
      <c r="I121" s="40"/>
      <c r="J121" s="40" t="s">
        <v>80</v>
      </c>
      <c r="K121" s="40" t="s">
        <v>89</v>
      </c>
      <c r="L121" s="40" t="s">
        <v>90</v>
      </c>
      <c r="M121" s="40">
        <v>0.6</v>
      </c>
      <c r="N121" s="46" t="s">
        <v>730</v>
      </c>
      <c r="O121" s="46" t="s">
        <v>731</v>
      </c>
      <c r="P121" s="26" t="s">
        <v>68</v>
      </c>
      <c r="Q121" s="5" t="e">
        <v>#N/A</v>
      </c>
    </row>
    <row r="122" s="5" customFormat="1" ht="40.5" hidden="1" spans="1:17">
      <c r="A122" s="40" t="s">
        <v>794</v>
      </c>
      <c r="B122" s="48" t="s">
        <v>795</v>
      </c>
      <c r="C122" s="40" t="str">
        <f>"661506407655200"</f>
        <v>661506407655200</v>
      </c>
      <c r="D122" s="40" t="s">
        <v>58</v>
      </c>
      <c r="E122" s="40" t="s">
        <v>796</v>
      </c>
      <c r="F122" s="45" t="s">
        <v>797</v>
      </c>
      <c r="G122" s="40" t="s">
        <v>60</v>
      </c>
      <c r="H122" s="40" t="s">
        <v>798</v>
      </c>
      <c r="I122" s="40" t="s">
        <v>145</v>
      </c>
      <c r="J122" s="40" t="s">
        <v>799</v>
      </c>
      <c r="K122" s="40" t="s">
        <v>800</v>
      </c>
      <c r="L122" s="40" t="s">
        <v>801</v>
      </c>
      <c r="M122" s="40">
        <v>0.6</v>
      </c>
      <c r="N122" s="46" t="s">
        <v>730</v>
      </c>
      <c r="O122" s="46" t="s">
        <v>731</v>
      </c>
      <c r="P122" s="26" t="s">
        <v>68</v>
      </c>
      <c r="Q122" s="5" t="e">
        <v>#N/A</v>
      </c>
    </row>
    <row r="123" s="5" customFormat="1" ht="40.5" hidden="1" spans="1:17">
      <c r="A123" s="46" t="s">
        <v>802</v>
      </c>
      <c r="B123" s="49" t="s">
        <v>803</v>
      </c>
      <c r="C123" s="46" t="str">
        <f>"661506407655100"</f>
        <v>661506407655100</v>
      </c>
      <c r="D123" s="40" t="s">
        <v>58</v>
      </c>
      <c r="E123" s="40" t="s">
        <v>804</v>
      </c>
      <c r="F123" s="45"/>
      <c r="G123" s="40" t="s">
        <v>60</v>
      </c>
      <c r="H123" s="40" t="s">
        <v>153</v>
      </c>
      <c r="I123" s="40"/>
      <c r="J123" s="40" t="s">
        <v>805</v>
      </c>
      <c r="K123" s="40" t="s">
        <v>806</v>
      </c>
      <c r="L123" s="40" t="s">
        <v>807</v>
      </c>
      <c r="M123" s="40">
        <v>0.6</v>
      </c>
      <c r="N123" s="46" t="s">
        <v>730</v>
      </c>
      <c r="O123" s="46" t="s">
        <v>731</v>
      </c>
      <c r="P123" s="26" t="s">
        <v>68</v>
      </c>
      <c r="Q123" s="5" t="e">
        <v>#N/A</v>
      </c>
    </row>
    <row r="124" s="5" customFormat="1" ht="40.5" hidden="1" spans="1:17">
      <c r="A124" s="40" t="s">
        <v>808</v>
      </c>
      <c r="B124" s="48" t="s">
        <v>809</v>
      </c>
      <c r="C124" s="40" t="str">
        <f>"661506407651700"</f>
        <v>661506407651700</v>
      </c>
      <c r="D124" s="40" t="s">
        <v>697</v>
      </c>
      <c r="E124" s="40" t="s">
        <v>810</v>
      </c>
      <c r="F124" s="40" t="s">
        <v>811</v>
      </c>
      <c r="G124" s="40" t="s">
        <v>60</v>
      </c>
      <c r="H124" s="40" t="s">
        <v>812</v>
      </c>
      <c r="I124" s="112" t="s">
        <v>154</v>
      </c>
      <c r="J124" s="40" t="s">
        <v>813</v>
      </c>
      <c r="K124" s="40" t="s">
        <v>814</v>
      </c>
      <c r="L124" s="40" t="s">
        <v>815</v>
      </c>
      <c r="M124" s="40">
        <v>0.6</v>
      </c>
      <c r="N124" s="52" t="s">
        <v>66</v>
      </c>
      <c r="O124" s="52"/>
      <c r="P124" s="26" t="s">
        <v>66</v>
      </c>
      <c r="Q124" s="5" t="e">
        <v>#N/A</v>
      </c>
    </row>
    <row r="125" s="6" customFormat="1" ht="40.5" spans="1:17">
      <c r="A125" s="46" t="s">
        <v>816</v>
      </c>
      <c r="B125" s="49" t="s">
        <v>817</v>
      </c>
      <c r="C125" s="46" t="str">
        <f>"661506407648500"</f>
        <v>661506407648500</v>
      </c>
      <c r="D125" s="46" t="s">
        <v>58</v>
      </c>
      <c r="E125" s="46" t="s">
        <v>818</v>
      </c>
      <c r="F125" s="47" t="s">
        <v>819</v>
      </c>
      <c r="G125" s="46" t="s">
        <v>60</v>
      </c>
      <c r="H125" s="46" t="s">
        <v>820</v>
      </c>
      <c r="I125" s="114" t="s">
        <v>112</v>
      </c>
      <c r="J125" s="46" t="s">
        <v>105</v>
      </c>
      <c r="K125" s="46" t="s">
        <v>821</v>
      </c>
      <c r="L125" s="46" t="s">
        <v>822</v>
      </c>
      <c r="M125" s="46">
        <v>0.6</v>
      </c>
      <c r="N125" s="52" t="s">
        <v>66</v>
      </c>
      <c r="O125" s="52"/>
      <c r="P125" s="26" t="s">
        <v>66</v>
      </c>
      <c r="Q125" s="6" t="e">
        <v>#N/A</v>
      </c>
    </row>
    <row r="126" s="5" customFormat="1" ht="40.5" hidden="1" spans="1:17">
      <c r="A126" s="40" t="s">
        <v>823</v>
      </c>
      <c r="B126" s="48" t="s">
        <v>824</v>
      </c>
      <c r="C126" s="40" t="str">
        <f>"661506407640400"</f>
        <v>661506407640400</v>
      </c>
      <c r="D126" s="40" t="s">
        <v>464</v>
      </c>
      <c r="E126" s="40" t="s">
        <v>825</v>
      </c>
      <c r="F126" s="45" t="s">
        <v>826</v>
      </c>
      <c r="G126" s="40" t="s">
        <v>60</v>
      </c>
      <c r="H126" s="40" t="s">
        <v>776</v>
      </c>
      <c r="I126" s="40"/>
      <c r="J126" s="40" t="s">
        <v>128</v>
      </c>
      <c r="K126" s="40" t="s">
        <v>263</v>
      </c>
      <c r="L126" s="40" t="s">
        <v>264</v>
      </c>
      <c r="M126" s="40">
        <v>0.6</v>
      </c>
      <c r="N126" s="52" t="s">
        <v>66</v>
      </c>
      <c r="O126" s="52"/>
      <c r="P126" s="26" t="s">
        <v>66</v>
      </c>
      <c r="Q126" s="5" t="e">
        <v>#N/A</v>
      </c>
    </row>
    <row r="127" s="5" customFormat="1" ht="40.5" hidden="1" spans="1:17">
      <c r="A127" s="40" t="s">
        <v>827</v>
      </c>
      <c r="B127" s="48" t="s">
        <v>828</v>
      </c>
      <c r="C127" s="40" t="str">
        <f>"661506407638400"</f>
        <v>661506407638400</v>
      </c>
      <c r="D127" s="40" t="s">
        <v>58</v>
      </c>
      <c r="E127" s="40" t="s">
        <v>829</v>
      </c>
      <c r="F127" s="45" t="s">
        <v>830</v>
      </c>
      <c r="G127" s="40" t="s">
        <v>60</v>
      </c>
      <c r="H127" s="40" t="s">
        <v>831</v>
      </c>
      <c r="I127" s="40" t="s">
        <v>832</v>
      </c>
      <c r="J127" s="40" t="s">
        <v>631</v>
      </c>
      <c r="K127" s="40" t="s">
        <v>833</v>
      </c>
      <c r="L127" s="40" t="s">
        <v>834</v>
      </c>
      <c r="M127" s="40">
        <v>0.6</v>
      </c>
      <c r="N127" s="52" t="s">
        <v>66</v>
      </c>
      <c r="O127" s="52"/>
      <c r="P127" s="26" t="s">
        <v>66</v>
      </c>
      <c r="Q127" s="5" t="e">
        <v>#N/A</v>
      </c>
    </row>
    <row r="128" s="5" customFormat="1" ht="40.5" hidden="1" spans="1:17">
      <c r="A128" s="40" t="s">
        <v>835</v>
      </c>
      <c r="B128" s="48" t="s">
        <v>836</v>
      </c>
      <c r="C128" s="40" t="str">
        <f>"661506407636600"</f>
        <v>661506407636600</v>
      </c>
      <c r="D128" s="40" t="s">
        <v>464</v>
      </c>
      <c r="E128" s="40" t="s">
        <v>837</v>
      </c>
      <c r="F128" s="40" t="s">
        <v>838</v>
      </c>
      <c r="G128" s="40" t="s">
        <v>60</v>
      </c>
      <c r="H128" s="40" t="s">
        <v>439</v>
      </c>
      <c r="I128" s="112" t="s">
        <v>619</v>
      </c>
      <c r="J128" s="40" t="s">
        <v>176</v>
      </c>
      <c r="K128" s="40" t="s">
        <v>839</v>
      </c>
      <c r="L128" s="40" t="s">
        <v>840</v>
      </c>
      <c r="M128" s="40">
        <v>0.6</v>
      </c>
      <c r="N128" s="52" t="s">
        <v>66</v>
      </c>
      <c r="O128" s="52"/>
      <c r="P128" s="26" t="s">
        <v>66</v>
      </c>
      <c r="Q128" s="5" t="e">
        <v>#N/A</v>
      </c>
    </row>
    <row r="129" s="5" customFormat="1" ht="40.5" hidden="1" spans="1:17">
      <c r="A129" s="40" t="s">
        <v>841</v>
      </c>
      <c r="B129" s="48" t="s">
        <v>842</v>
      </c>
      <c r="C129" s="40" t="str">
        <f>"661506407635200"</f>
        <v>661506407635200</v>
      </c>
      <c r="D129" s="40" t="s">
        <v>58</v>
      </c>
      <c r="E129" s="40" t="s">
        <v>843</v>
      </c>
      <c r="F129" s="45" t="s">
        <v>844</v>
      </c>
      <c r="G129" s="40" t="s">
        <v>143</v>
      </c>
      <c r="H129" s="40" t="s">
        <v>568</v>
      </c>
      <c r="I129" s="40"/>
      <c r="J129" s="40" t="s">
        <v>80</v>
      </c>
      <c r="K129" s="40" t="s">
        <v>845</v>
      </c>
      <c r="L129" s="40" t="s">
        <v>846</v>
      </c>
      <c r="M129" s="40">
        <v>0.6</v>
      </c>
      <c r="N129" s="58" t="s">
        <v>163</v>
      </c>
      <c r="O129" s="58" t="s">
        <v>847</v>
      </c>
      <c r="P129" s="26" t="s">
        <v>68</v>
      </c>
      <c r="Q129" s="5" t="e">
        <v>#N/A</v>
      </c>
    </row>
    <row r="130" s="5" customFormat="1" ht="40.5" hidden="1" spans="1:17">
      <c r="A130" s="40" t="s">
        <v>848</v>
      </c>
      <c r="B130" s="48" t="s">
        <v>849</v>
      </c>
      <c r="C130" s="40" t="str">
        <f>"661506407635000"</f>
        <v>661506407635000</v>
      </c>
      <c r="D130" s="40" t="s">
        <v>58</v>
      </c>
      <c r="E130" s="40" t="s">
        <v>850</v>
      </c>
      <c r="F130" s="40" t="s">
        <v>851</v>
      </c>
      <c r="G130" s="40" t="s">
        <v>60</v>
      </c>
      <c r="H130" s="40" t="s">
        <v>852</v>
      </c>
      <c r="I130" s="112" t="s">
        <v>168</v>
      </c>
      <c r="J130" s="40" t="s">
        <v>205</v>
      </c>
      <c r="K130" s="40" t="s">
        <v>214</v>
      </c>
      <c r="L130" s="40" t="s">
        <v>215</v>
      </c>
      <c r="M130" s="40">
        <v>0.6</v>
      </c>
      <c r="N130" s="52" t="s">
        <v>66</v>
      </c>
      <c r="O130" s="52"/>
      <c r="P130" s="26" t="s">
        <v>163</v>
      </c>
      <c r="Q130" s="5" t="e">
        <v>#N/A</v>
      </c>
    </row>
    <row r="131" s="5" customFormat="1" ht="40.5" hidden="1" spans="1:17">
      <c r="A131" s="40" t="s">
        <v>853</v>
      </c>
      <c r="B131" s="48" t="s">
        <v>854</v>
      </c>
      <c r="C131" s="40" t="str">
        <f>"661506407632500"</f>
        <v>661506407632500</v>
      </c>
      <c r="D131" s="40" t="s">
        <v>58</v>
      </c>
      <c r="E131" s="40" t="s">
        <v>855</v>
      </c>
      <c r="F131" s="45" t="s">
        <v>856</v>
      </c>
      <c r="G131" s="40" t="s">
        <v>60</v>
      </c>
      <c r="H131" s="40" t="s">
        <v>857</v>
      </c>
      <c r="I131" s="40" t="s">
        <v>858</v>
      </c>
      <c r="J131" s="40" t="s">
        <v>136</v>
      </c>
      <c r="K131" s="40" t="s">
        <v>859</v>
      </c>
      <c r="L131" s="40" t="s">
        <v>860</v>
      </c>
      <c r="M131" s="40">
        <v>0.6</v>
      </c>
      <c r="N131" s="52" t="s">
        <v>66</v>
      </c>
      <c r="O131" s="52"/>
      <c r="P131" s="26" t="s">
        <v>66</v>
      </c>
      <c r="Q131" s="5" t="e">
        <v>#N/A</v>
      </c>
    </row>
    <row r="132" s="5" customFormat="1" ht="40.5" hidden="1" spans="1:17">
      <c r="A132" s="40" t="s">
        <v>861</v>
      </c>
      <c r="B132" s="48" t="s">
        <v>862</v>
      </c>
      <c r="C132" s="40" t="str">
        <f>"661506407606400"</f>
        <v>661506407606400</v>
      </c>
      <c r="D132" s="40" t="s">
        <v>697</v>
      </c>
      <c r="E132" s="40" t="s">
        <v>863</v>
      </c>
      <c r="F132" s="45"/>
      <c r="G132" s="40" t="s">
        <v>143</v>
      </c>
      <c r="H132" s="40" t="s">
        <v>126</v>
      </c>
      <c r="I132" s="40"/>
      <c r="J132" s="40" t="s">
        <v>205</v>
      </c>
      <c r="K132" s="40" t="s">
        <v>864</v>
      </c>
      <c r="L132" s="40" t="s">
        <v>865</v>
      </c>
      <c r="M132" s="40">
        <v>0.6</v>
      </c>
      <c r="N132" s="52" t="s">
        <v>66</v>
      </c>
      <c r="O132" s="52"/>
      <c r="P132" s="26" t="s">
        <v>66</v>
      </c>
      <c r="Q132" s="5" t="e">
        <v>#N/A</v>
      </c>
    </row>
    <row r="133" s="5" customFormat="1" ht="40.5" hidden="1" spans="1:17">
      <c r="A133" s="41" t="s">
        <v>866</v>
      </c>
      <c r="B133" s="54" t="s">
        <v>867</v>
      </c>
      <c r="C133" s="41" t="str">
        <f>"661506407594400"</f>
        <v>661506407594400</v>
      </c>
      <c r="D133" s="40" t="s">
        <v>58</v>
      </c>
      <c r="E133" s="40" t="s">
        <v>868</v>
      </c>
      <c r="F133" s="45" t="s">
        <v>869</v>
      </c>
      <c r="G133" s="40" t="s">
        <v>60</v>
      </c>
      <c r="H133" s="40" t="s">
        <v>167</v>
      </c>
      <c r="I133" s="40" t="s">
        <v>870</v>
      </c>
      <c r="J133" s="40" t="s">
        <v>631</v>
      </c>
      <c r="K133" s="40" t="s">
        <v>871</v>
      </c>
      <c r="L133" s="40" t="s">
        <v>872</v>
      </c>
      <c r="M133" s="40">
        <v>0.6</v>
      </c>
      <c r="N133" s="52" t="s">
        <v>66</v>
      </c>
      <c r="O133" s="52"/>
      <c r="P133" s="26" t="s">
        <v>68</v>
      </c>
      <c r="Q133" s="5" t="e">
        <v>#N/A</v>
      </c>
    </row>
    <row r="134" s="5" customFormat="1" ht="40.5" hidden="1" spans="1:17">
      <c r="A134" s="40" t="s">
        <v>873</v>
      </c>
      <c r="B134" s="48" t="s">
        <v>874</v>
      </c>
      <c r="C134" s="40" t="str">
        <f>"661506407528400"</f>
        <v>661506407528400</v>
      </c>
      <c r="D134" s="40" t="s">
        <v>58</v>
      </c>
      <c r="E134" s="40" t="s">
        <v>875</v>
      </c>
      <c r="F134" s="45" t="s">
        <v>876</v>
      </c>
      <c r="G134" s="40" t="s">
        <v>60</v>
      </c>
      <c r="H134" s="40" t="s">
        <v>877</v>
      </c>
      <c r="I134" s="40" t="s">
        <v>112</v>
      </c>
      <c r="J134" s="40" t="s">
        <v>146</v>
      </c>
      <c r="K134" s="40" t="s">
        <v>878</v>
      </c>
      <c r="L134" s="40" t="s">
        <v>879</v>
      </c>
      <c r="M134" s="40">
        <v>0.6</v>
      </c>
      <c r="N134" s="52" t="s">
        <v>66</v>
      </c>
      <c r="O134" s="52"/>
      <c r="P134" s="26" t="s">
        <v>68</v>
      </c>
      <c r="Q134" s="5" t="e">
        <v>#N/A</v>
      </c>
    </row>
    <row r="135" s="7" customFormat="1" ht="81" hidden="1" spans="1:17">
      <c r="A135" s="40" t="s">
        <v>880</v>
      </c>
      <c r="B135" s="48" t="s">
        <v>881</v>
      </c>
      <c r="C135" s="40" t="str">
        <f>"661506407515100"</f>
        <v>661506407515100</v>
      </c>
      <c r="D135" s="41" t="s">
        <v>58</v>
      </c>
      <c r="E135" s="41" t="s">
        <v>882</v>
      </c>
      <c r="F135" s="55" t="s">
        <v>883</v>
      </c>
      <c r="G135" s="41" t="s">
        <v>60</v>
      </c>
      <c r="H135" s="41" t="s">
        <v>153</v>
      </c>
      <c r="I135" s="41"/>
      <c r="J135" s="41" t="s">
        <v>805</v>
      </c>
      <c r="K135" s="41" t="s">
        <v>884</v>
      </c>
      <c r="L135" s="41" t="s">
        <v>885</v>
      </c>
      <c r="M135" s="41">
        <v>0.6</v>
      </c>
      <c r="N135" s="58" t="s">
        <v>163</v>
      </c>
      <c r="O135" s="58" t="s">
        <v>886</v>
      </c>
      <c r="P135" s="26" t="s">
        <v>68</v>
      </c>
      <c r="Q135" s="7" t="e">
        <v>#N/A</v>
      </c>
    </row>
    <row r="136" s="6" customFormat="1" ht="40.5" hidden="1" spans="1:17">
      <c r="A136" s="40" t="s">
        <v>887</v>
      </c>
      <c r="B136" s="48" t="s">
        <v>888</v>
      </c>
      <c r="C136" s="40" t="str">
        <f>"661506407510700"</f>
        <v>661506407510700</v>
      </c>
      <c r="D136" s="46" t="s">
        <v>58</v>
      </c>
      <c r="E136" s="46" t="s">
        <v>889</v>
      </c>
      <c r="F136" s="47" t="s">
        <v>890</v>
      </c>
      <c r="G136" s="46" t="s">
        <v>60</v>
      </c>
      <c r="H136" s="46" t="s">
        <v>153</v>
      </c>
      <c r="I136" s="114" t="s">
        <v>112</v>
      </c>
      <c r="J136" s="46" t="s">
        <v>128</v>
      </c>
      <c r="K136" s="46" t="s">
        <v>891</v>
      </c>
      <c r="L136" s="46" t="s">
        <v>892</v>
      </c>
      <c r="M136" s="46">
        <v>0.6</v>
      </c>
      <c r="N136" s="52" t="s">
        <v>66</v>
      </c>
      <c r="O136" s="52"/>
      <c r="P136" s="26" t="s">
        <v>66</v>
      </c>
      <c r="Q136" s="6" t="e">
        <v>#N/A</v>
      </c>
    </row>
    <row r="137" s="5" customFormat="1" ht="40.5" hidden="1" spans="1:17">
      <c r="A137" s="40" t="s">
        <v>893</v>
      </c>
      <c r="B137" s="48" t="s">
        <v>894</v>
      </c>
      <c r="C137" s="40" t="str">
        <f>"661506407502600"</f>
        <v>661506407502600</v>
      </c>
      <c r="D137" s="40" t="s">
        <v>58</v>
      </c>
      <c r="E137" s="40" t="s">
        <v>895</v>
      </c>
      <c r="F137" s="40"/>
      <c r="G137" s="40" t="s">
        <v>60</v>
      </c>
      <c r="H137" s="40" t="s">
        <v>256</v>
      </c>
      <c r="I137" s="112" t="s">
        <v>487</v>
      </c>
      <c r="J137" s="40" t="s">
        <v>136</v>
      </c>
      <c r="K137" s="40" t="s">
        <v>896</v>
      </c>
      <c r="L137" s="40" t="s">
        <v>897</v>
      </c>
      <c r="M137" s="40">
        <v>0.6</v>
      </c>
      <c r="N137" s="52" t="s">
        <v>66</v>
      </c>
      <c r="O137" s="52"/>
      <c r="P137" s="26" t="s">
        <v>66</v>
      </c>
      <c r="Q137" s="5" t="e">
        <v>#N/A</v>
      </c>
    </row>
    <row r="138" s="5" customFormat="1" ht="40.5" hidden="1" spans="1:17">
      <c r="A138" s="40" t="s">
        <v>898</v>
      </c>
      <c r="B138" s="48" t="s">
        <v>899</v>
      </c>
      <c r="C138" s="40" t="str">
        <f>"661506407502400"</f>
        <v>661506407502400</v>
      </c>
      <c r="D138" s="40" t="s">
        <v>58</v>
      </c>
      <c r="E138" s="40" t="s">
        <v>900</v>
      </c>
      <c r="F138" s="45" t="s">
        <v>901</v>
      </c>
      <c r="G138" s="40" t="s">
        <v>60</v>
      </c>
      <c r="H138" s="40" t="s">
        <v>295</v>
      </c>
      <c r="I138" s="40" t="s">
        <v>902</v>
      </c>
      <c r="J138" s="40" t="s">
        <v>380</v>
      </c>
      <c r="K138" s="40" t="s">
        <v>903</v>
      </c>
      <c r="L138" s="40" t="s">
        <v>904</v>
      </c>
      <c r="M138" s="40">
        <v>0.6</v>
      </c>
      <c r="N138" s="46" t="s">
        <v>730</v>
      </c>
      <c r="O138" s="46" t="s">
        <v>731</v>
      </c>
      <c r="P138" s="26" t="s">
        <v>68</v>
      </c>
      <c r="Q138" s="5" t="e">
        <v>#N/A</v>
      </c>
    </row>
    <row r="139" s="6" customFormat="1" ht="40.5" hidden="1" spans="1:17">
      <c r="A139" s="40" t="s">
        <v>905</v>
      </c>
      <c r="B139" s="48" t="s">
        <v>906</v>
      </c>
      <c r="C139" s="40" t="str">
        <f>"661506407492400"</f>
        <v>661506407492400</v>
      </c>
      <c r="D139" s="46" t="s">
        <v>58</v>
      </c>
      <c r="E139" s="46" t="s">
        <v>907</v>
      </c>
      <c r="F139" s="47" t="s">
        <v>908</v>
      </c>
      <c r="G139" s="46" t="s">
        <v>60</v>
      </c>
      <c r="H139" s="46" t="s">
        <v>909</v>
      </c>
      <c r="I139" s="114" t="s">
        <v>688</v>
      </c>
      <c r="J139" s="46" t="s">
        <v>74</v>
      </c>
      <c r="K139" s="46" t="s">
        <v>910</v>
      </c>
      <c r="L139" s="46" t="s">
        <v>911</v>
      </c>
      <c r="M139" s="46">
        <v>0.6</v>
      </c>
      <c r="N139" s="52" t="s">
        <v>66</v>
      </c>
      <c r="O139" s="52"/>
      <c r="P139" s="43" t="s">
        <v>116</v>
      </c>
      <c r="Q139" s="6" t="e">
        <v>#N/A</v>
      </c>
    </row>
    <row r="140" s="5" customFormat="1" ht="40.5" hidden="1" spans="1:17">
      <c r="A140" s="46" t="s">
        <v>912</v>
      </c>
      <c r="B140" s="49" t="s">
        <v>913</v>
      </c>
      <c r="C140" s="46" t="str">
        <f>"661506407482700"</f>
        <v>661506407482700</v>
      </c>
      <c r="D140" s="40" t="s">
        <v>58</v>
      </c>
      <c r="E140" s="40" t="s">
        <v>914</v>
      </c>
      <c r="F140" s="45" t="s">
        <v>915</v>
      </c>
      <c r="G140" s="40" t="s">
        <v>60</v>
      </c>
      <c r="H140" s="40" t="s">
        <v>317</v>
      </c>
      <c r="I140" s="40"/>
      <c r="J140" s="40" t="s">
        <v>80</v>
      </c>
      <c r="K140" s="40" t="s">
        <v>916</v>
      </c>
      <c r="L140" s="40" t="s">
        <v>917</v>
      </c>
      <c r="M140" s="40">
        <v>0.6</v>
      </c>
      <c r="N140" s="52" t="s">
        <v>66</v>
      </c>
      <c r="O140" s="52"/>
      <c r="P140" s="26" t="s">
        <v>66</v>
      </c>
      <c r="Q140" s="5" t="e">
        <v>#N/A</v>
      </c>
    </row>
    <row r="141" s="5" customFormat="1" ht="40.5" hidden="1" spans="1:17">
      <c r="A141" s="40" t="s">
        <v>918</v>
      </c>
      <c r="B141" s="48" t="s">
        <v>919</v>
      </c>
      <c r="C141" s="40" t="str">
        <f>"661506407482600"</f>
        <v>661506407482600</v>
      </c>
      <c r="D141" s="40" t="s">
        <v>58</v>
      </c>
      <c r="E141" s="40" t="s">
        <v>920</v>
      </c>
      <c r="F141" s="45"/>
      <c r="G141" s="40" t="s">
        <v>60</v>
      </c>
      <c r="H141" s="40" t="s">
        <v>212</v>
      </c>
      <c r="I141" s="40"/>
      <c r="J141" s="40" t="s">
        <v>80</v>
      </c>
      <c r="K141" s="40" t="s">
        <v>169</v>
      </c>
      <c r="L141" s="40" t="s">
        <v>170</v>
      </c>
      <c r="M141" s="40">
        <v>0.6</v>
      </c>
      <c r="N141" s="52" t="s">
        <v>66</v>
      </c>
      <c r="O141" s="52"/>
      <c r="P141" s="26" t="s">
        <v>66</v>
      </c>
      <c r="Q141" s="5" t="e">
        <v>#N/A</v>
      </c>
    </row>
    <row r="142" s="6" customFormat="1" ht="40.5" hidden="1" spans="1:17">
      <c r="A142" s="40" t="s">
        <v>921</v>
      </c>
      <c r="B142" s="48" t="s">
        <v>922</v>
      </c>
      <c r="C142" s="40" t="str">
        <f>"661506407480500"</f>
        <v>661506407480500</v>
      </c>
      <c r="D142" s="46" t="s">
        <v>923</v>
      </c>
      <c r="E142" s="46" t="s">
        <v>924</v>
      </c>
      <c r="F142" s="46"/>
      <c r="G142" s="46" t="s">
        <v>60</v>
      </c>
      <c r="H142" s="46" t="s">
        <v>153</v>
      </c>
      <c r="I142" s="114" t="s">
        <v>154</v>
      </c>
      <c r="J142" s="46" t="s">
        <v>205</v>
      </c>
      <c r="K142" s="46" t="s">
        <v>925</v>
      </c>
      <c r="L142" s="46" t="s">
        <v>263</v>
      </c>
      <c r="M142" s="46">
        <v>0.6</v>
      </c>
      <c r="N142" s="52" t="s">
        <v>66</v>
      </c>
      <c r="O142" s="52"/>
      <c r="P142" s="26" t="s">
        <v>68</v>
      </c>
      <c r="Q142" s="6" t="e">
        <v>#N/A</v>
      </c>
    </row>
    <row r="143" s="5" customFormat="1" ht="40.5" hidden="1" spans="1:17">
      <c r="A143" s="40" t="s">
        <v>926</v>
      </c>
      <c r="B143" s="48" t="s">
        <v>927</v>
      </c>
      <c r="C143" s="40" t="str">
        <f>"661506407480400"</f>
        <v>661506407480400</v>
      </c>
      <c r="D143" s="40" t="s">
        <v>58</v>
      </c>
      <c r="E143" s="40" t="s">
        <v>928</v>
      </c>
      <c r="F143" s="40" t="s">
        <v>929</v>
      </c>
      <c r="G143" s="40" t="s">
        <v>60</v>
      </c>
      <c r="H143" s="40" t="s">
        <v>651</v>
      </c>
      <c r="I143" s="40" t="s">
        <v>619</v>
      </c>
      <c r="J143" s="40" t="s">
        <v>221</v>
      </c>
      <c r="K143" s="40" t="s">
        <v>930</v>
      </c>
      <c r="L143" s="40" t="s">
        <v>931</v>
      </c>
      <c r="M143" s="40">
        <v>0.6</v>
      </c>
      <c r="N143" s="52" t="s">
        <v>66</v>
      </c>
      <c r="O143" s="52"/>
      <c r="P143" s="26" t="s">
        <v>116</v>
      </c>
      <c r="Q143" s="5" t="e">
        <v>#N/A</v>
      </c>
    </row>
    <row r="144" s="5" customFormat="1" ht="40.5" hidden="1" spans="1:17">
      <c r="A144" s="40" t="s">
        <v>932</v>
      </c>
      <c r="B144" s="48" t="s">
        <v>933</v>
      </c>
      <c r="C144" s="40" t="str">
        <f>"661506407469200"</f>
        <v>661506407469200</v>
      </c>
      <c r="D144" s="40" t="s">
        <v>58</v>
      </c>
      <c r="E144" s="40" t="s">
        <v>934</v>
      </c>
      <c r="F144" s="45" t="s">
        <v>935</v>
      </c>
      <c r="G144" s="40" t="s">
        <v>143</v>
      </c>
      <c r="H144" s="40" t="s">
        <v>413</v>
      </c>
      <c r="I144" s="40" t="s">
        <v>936</v>
      </c>
      <c r="J144" s="40" t="s">
        <v>228</v>
      </c>
      <c r="K144" s="40" t="s">
        <v>937</v>
      </c>
      <c r="L144" s="40" t="s">
        <v>938</v>
      </c>
      <c r="M144" s="40">
        <v>0.6</v>
      </c>
      <c r="N144" s="52" t="s">
        <v>66</v>
      </c>
      <c r="O144" s="52"/>
      <c r="P144" s="26" t="s">
        <v>68</v>
      </c>
      <c r="Q144" s="5" t="e">
        <v>#N/A</v>
      </c>
    </row>
    <row r="145" s="6" customFormat="1" ht="40.5" hidden="1" spans="1:17">
      <c r="A145" s="40" t="s">
        <v>939</v>
      </c>
      <c r="B145" s="48" t="s">
        <v>940</v>
      </c>
      <c r="C145" s="40" t="str">
        <f>"661506407456500"</f>
        <v>661506407456500</v>
      </c>
      <c r="D145" s="46" t="s">
        <v>58</v>
      </c>
      <c r="E145" s="46" t="s">
        <v>941</v>
      </c>
      <c r="F145" s="47" t="s">
        <v>942</v>
      </c>
      <c r="G145" s="46" t="s">
        <v>60</v>
      </c>
      <c r="H145" s="46" t="s">
        <v>943</v>
      </c>
      <c r="I145" s="114" t="s">
        <v>944</v>
      </c>
      <c r="J145" s="46" t="s">
        <v>136</v>
      </c>
      <c r="K145" s="46" t="s">
        <v>945</v>
      </c>
      <c r="L145" s="46" t="s">
        <v>129</v>
      </c>
      <c r="M145" s="46">
        <v>0.6</v>
      </c>
      <c r="N145" s="52" t="s">
        <v>66</v>
      </c>
      <c r="O145" s="52"/>
      <c r="P145" s="26" t="s">
        <v>66</v>
      </c>
      <c r="Q145" s="6" t="e">
        <v>#N/A</v>
      </c>
    </row>
    <row r="146" s="5" customFormat="1" ht="40.5" hidden="1" spans="1:17">
      <c r="A146" s="40" t="s">
        <v>946</v>
      </c>
      <c r="B146" s="48" t="s">
        <v>947</v>
      </c>
      <c r="C146" s="40" t="str">
        <f>"661506407354400"</f>
        <v>661506407354400</v>
      </c>
      <c r="D146" s="40" t="s">
        <v>58</v>
      </c>
      <c r="E146" s="40" t="s">
        <v>948</v>
      </c>
      <c r="F146" s="40" t="s">
        <v>949</v>
      </c>
      <c r="G146" s="40" t="s">
        <v>60</v>
      </c>
      <c r="H146" s="40" t="s">
        <v>358</v>
      </c>
      <c r="I146" s="40" t="s">
        <v>950</v>
      </c>
      <c r="J146" s="40" t="s">
        <v>105</v>
      </c>
      <c r="K146" s="40" t="s">
        <v>951</v>
      </c>
      <c r="L146" s="40" t="s">
        <v>952</v>
      </c>
      <c r="M146" s="40">
        <v>0.6</v>
      </c>
      <c r="N146" s="52" t="s">
        <v>66</v>
      </c>
      <c r="O146" s="52"/>
      <c r="P146" s="26" t="s">
        <v>66</v>
      </c>
      <c r="Q146" s="5" t="e">
        <v>#N/A</v>
      </c>
    </row>
    <row r="147" s="5" customFormat="1" ht="40.5" hidden="1" spans="1:17">
      <c r="A147" s="46" t="s">
        <v>953</v>
      </c>
      <c r="B147" s="49" t="s">
        <v>954</v>
      </c>
      <c r="C147" s="46" t="str">
        <f>"661506407353900"</f>
        <v>661506407353900</v>
      </c>
      <c r="D147" s="40" t="s">
        <v>58</v>
      </c>
      <c r="E147" s="40" t="s">
        <v>955</v>
      </c>
      <c r="F147" s="45" t="s">
        <v>956</v>
      </c>
      <c r="G147" s="40" t="s">
        <v>60</v>
      </c>
      <c r="H147" s="40" t="s">
        <v>957</v>
      </c>
      <c r="I147" s="40" t="s">
        <v>154</v>
      </c>
      <c r="J147" s="40" t="s">
        <v>551</v>
      </c>
      <c r="K147" s="40" t="s">
        <v>958</v>
      </c>
      <c r="L147" s="40" t="s">
        <v>959</v>
      </c>
      <c r="M147" s="40">
        <v>0.6</v>
      </c>
      <c r="N147" s="52" t="s">
        <v>66</v>
      </c>
      <c r="O147" s="52"/>
      <c r="P147" s="26" t="s">
        <v>68</v>
      </c>
      <c r="Q147" s="5" t="e">
        <v>#N/A</v>
      </c>
    </row>
    <row r="148" s="5" customFormat="1" ht="40.5" hidden="1" spans="1:17">
      <c r="A148" s="40" t="s">
        <v>960</v>
      </c>
      <c r="B148" s="48" t="s">
        <v>961</v>
      </c>
      <c r="C148" s="40" t="str">
        <f>"661506407353400"</f>
        <v>661506407353400</v>
      </c>
      <c r="D148" s="40" t="s">
        <v>58</v>
      </c>
      <c r="E148" s="40" t="s">
        <v>962</v>
      </c>
      <c r="F148" s="45" t="s">
        <v>963</v>
      </c>
      <c r="G148" s="40" t="s">
        <v>60</v>
      </c>
      <c r="H148" s="40" t="s">
        <v>964</v>
      </c>
      <c r="I148" s="40"/>
      <c r="J148" s="40" t="s">
        <v>340</v>
      </c>
      <c r="K148" s="40" t="s">
        <v>965</v>
      </c>
      <c r="L148" s="40" t="s">
        <v>966</v>
      </c>
      <c r="M148" s="40">
        <v>0.6</v>
      </c>
      <c r="N148" s="52" t="s">
        <v>66</v>
      </c>
      <c r="O148" s="52"/>
      <c r="P148" s="43" t="s">
        <v>68</v>
      </c>
      <c r="Q148" s="5" t="e">
        <v>#N/A</v>
      </c>
    </row>
    <row r="149" s="5" customFormat="1" ht="40.5" hidden="1" spans="1:17">
      <c r="A149" s="40" t="s">
        <v>967</v>
      </c>
      <c r="B149" s="48" t="s">
        <v>968</v>
      </c>
      <c r="C149" s="40" t="str">
        <f>"661506407353200"</f>
        <v>661506407353200</v>
      </c>
      <c r="D149" s="40" t="s">
        <v>58</v>
      </c>
      <c r="E149" s="40" t="s">
        <v>969</v>
      </c>
      <c r="F149" s="45" t="s">
        <v>970</v>
      </c>
      <c r="G149" s="40" t="s">
        <v>60</v>
      </c>
      <c r="H149" s="40" t="s">
        <v>909</v>
      </c>
      <c r="I149" s="40"/>
      <c r="J149" s="40" t="s">
        <v>136</v>
      </c>
      <c r="K149" s="40" t="s">
        <v>570</v>
      </c>
      <c r="L149" s="40" t="s">
        <v>214</v>
      </c>
      <c r="M149" s="40">
        <v>0.6</v>
      </c>
      <c r="N149" s="52" t="s">
        <v>66</v>
      </c>
      <c r="O149" s="52"/>
      <c r="P149" s="26" t="s">
        <v>66</v>
      </c>
      <c r="Q149" s="5" t="e">
        <v>#N/A</v>
      </c>
    </row>
    <row r="150" s="6" customFormat="1" ht="40.5" hidden="1" spans="1:17">
      <c r="A150" s="40" t="s">
        <v>971</v>
      </c>
      <c r="B150" s="48" t="s">
        <v>972</v>
      </c>
      <c r="C150" s="40" t="str">
        <f>"661506407352600"</f>
        <v>661506407352600</v>
      </c>
      <c r="D150" s="46" t="s">
        <v>58</v>
      </c>
      <c r="E150" s="46" t="s">
        <v>973</v>
      </c>
      <c r="F150" s="47" t="s">
        <v>974</v>
      </c>
      <c r="G150" s="46" t="s">
        <v>60</v>
      </c>
      <c r="H150" s="46" t="s">
        <v>975</v>
      </c>
      <c r="I150" s="46"/>
      <c r="J150" s="46" t="s">
        <v>205</v>
      </c>
      <c r="K150" s="46" t="s">
        <v>976</v>
      </c>
      <c r="L150" s="46" t="s">
        <v>977</v>
      </c>
      <c r="M150" s="46">
        <v>0.6</v>
      </c>
      <c r="N150" s="52" t="s">
        <v>66</v>
      </c>
      <c r="O150" s="52"/>
      <c r="P150" s="26" t="s">
        <v>66</v>
      </c>
      <c r="Q150" s="6" t="e">
        <v>#N/A</v>
      </c>
    </row>
    <row r="151" s="5" customFormat="1" ht="40.5" hidden="1" spans="1:17">
      <c r="A151" s="40" t="s">
        <v>978</v>
      </c>
      <c r="B151" s="48" t="s">
        <v>979</v>
      </c>
      <c r="C151" s="40" t="str">
        <f>"661506407347200"</f>
        <v>661506407347200</v>
      </c>
      <c r="D151" s="40" t="s">
        <v>58</v>
      </c>
      <c r="E151" s="40" t="s">
        <v>980</v>
      </c>
      <c r="F151" s="40" t="s">
        <v>981</v>
      </c>
      <c r="G151" s="40" t="s">
        <v>60</v>
      </c>
      <c r="H151" s="40" t="s">
        <v>167</v>
      </c>
      <c r="I151" s="112" t="s">
        <v>982</v>
      </c>
      <c r="J151" s="40" t="s">
        <v>228</v>
      </c>
      <c r="K151" s="40" t="s">
        <v>983</v>
      </c>
      <c r="L151" s="40" t="s">
        <v>984</v>
      </c>
      <c r="M151" s="40">
        <v>0.6</v>
      </c>
      <c r="N151" s="52" t="s">
        <v>66</v>
      </c>
      <c r="O151" s="52"/>
      <c r="P151" s="26" t="s">
        <v>66</v>
      </c>
      <c r="Q151" s="5" t="e">
        <v>#N/A</v>
      </c>
    </row>
    <row r="152" s="5" customFormat="1" ht="40.5" hidden="1" spans="1:17">
      <c r="A152" s="40" t="s">
        <v>985</v>
      </c>
      <c r="B152" s="48" t="s">
        <v>986</v>
      </c>
      <c r="C152" s="40" t="str">
        <f>"661506407347100"</f>
        <v>661506407347100</v>
      </c>
      <c r="D152" s="40" t="s">
        <v>58</v>
      </c>
      <c r="E152" s="40" t="s">
        <v>987</v>
      </c>
      <c r="F152" s="45" t="s">
        <v>988</v>
      </c>
      <c r="G152" s="40" t="s">
        <v>60</v>
      </c>
      <c r="H152" s="40" t="s">
        <v>79</v>
      </c>
      <c r="I152" s="40" t="s">
        <v>989</v>
      </c>
      <c r="J152" s="40" t="s">
        <v>146</v>
      </c>
      <c r="K152" s="40" t="s">
        <v>990</v>
      </c>
      <c r="L152" s="40" t="s">
        <v>991</v>
      </c>
      <c r="M152" s="40">
        <v>0.6</v>
      </c>
      <c r="N152" s="52" t="s">
        <v>66</v>
      </c>
      <c r="O152" s="52"/>
      <c r="P152" s="26" t="s">
        <v>66</v>
      </c>
      <c r="Q152" s="5" t="e">
        <v>#N/A</v>
      </c>
    </row>
    <row r="153" s="5" customFormat="1" ht="40.5" hidden="1" spans="1:17">
      <c r="A153" s="40" t="s">
        <v>992</v>
      </c>
      <c r="B153" s="48" t="s">
        <v>993</v>
      </c>
      <c r="C153" s="40" t="str">
        <f>"661506407347000"</f>
        <v>661506407347000</v>
      </c>
      <c r="D153" s="40" t="s">
        <v>375</v>
      </c>
      <c r="E153" s="40" t="s">
        <v>994</v>
      </c>
      <c r="F153" s="45" t="s">
        <v>995</v>
      </c>
      <c r="G153" s="40" t="s">
        <v>143</v>
      </c>
      <c r="H153" s="40" t="s">
        <v>820</v>
      </c>
      <c r="I153" s="40" t="s">
        <v>112</v>
      </c>
      <c r="J153" s="40" t="s">
        <v>996</v>
      </c>
      <c r="K153" s="40" t="s">
        <v>997</v>
      </c>
      <c r="L153" s="40" t="s">
        <v>998</v>
      </c>
      <c r="M153" s="40">
        <v>0.6</v>
      </c>
      <c r="N153" s="46" t="s">
        <v>730</v>
      </c>
      <c r="O153" s="46" t="s">
        <v>731</v>
      </c>
      <c r="P153" s="26" t="s">
        <v>68</v>
      </c>
      <c r="Q153" s="5" t="e">
        <v>#N/A</v>
      </c>
    </row>
    <row r="154" s="5" customFormat="1" ht="40.5" hidden="1" spans="1:17">
      <c r="A154" s="40" t="s">
        <v>999</v>
      </c>
      <c r="B154" s="48" t="s">
        <v>1000</v>
      </c>
      <c r="C154" s="40" t="str">
        <f>"661506407340900"</f>
        <v>661506407340900</v>
      </c>
      <c r="D154" s="40" t="s">
        <v>455</v>
      </c>
      <c r="E154" s="40" t="s">
        <v>1001</v>
      </c>
      <c r="F154" s="45"/>
      <c r="G154" s="40" t="s">
        <v>60</v>
      </c>
      <c r="H154" s="40" t="s">
        <v>153</v>
      </c>
      <c r="I154" s="40" t="s">
        <v>1002</v>
      </c>
      <c r="J154" s="40" t="s">
        <v>221</v>
      </c>
      <c r="K154" s="40" t="s">
        <v>1003</v>
      </c>
      <c r="L154" s="40" t="s">
        <v>1004</v>
      </c>
      <c r="M154" s="40">
        <v>0.6</v>
      </c>
      <c r="N154" s="52" t="s">
        <v>66</v>
      </c>
      <c r="O154" s="52"/>
      <c r="P154" s="26" t="s">
        <v>68</v>
      </c>
      <c r="Q154" s="5" t="e">
        <v>#N/A</v>
      </c>
    </row>
    <row r="155" s="5" customFormat="1" ht="40.5" hidden="1" spans="1:17">
      <c r="A155" s="40" t="s">
        <v>1005</v>
      </c>
      <c r="B155" s="48" t="s">
        <v>1006</v>
      </c>
      <c r="C155" s="40" t="str">
        <f>"661506407340700"</f>
        <v>661506407340700</v>
      </c>
      <c r="D155" s="40" t="s">
        <v>495</v>
      </c>
      <c r="E155" s="40" t="s">
        <v>1007</v>
      </c>
      <c r="F155" s="45" t="s">
        <v>1008</v>
      </c>
      <c r="G155" s="40" t="s">
        <v>60</v>
      </c>
      <c r="H155" s="40" t="s">
        <v>1009</v>
      </c>
      <c r="I155" s="40"/>
      <c r="J155" s="40" t="s">
        <v>80</v>
      </c>
      <c r="K155" s="40" t="s">
        <v>169</v>
      </c>
      <c r="L155" s="40" t="s">
        <v>170</v>
      </c>
      <c r="M155" s="40">
        <v>0.6</v>
      </c>
      <c r="N155" s="52" t="s">
        <v>66</v>
      </c>
      <c r="O155" s="52"/>
      <c r="P155" s="26" t="s">
        <v>66</v>
      </c>
      <c r="Q155" s="5" t="e">
        <v>#N/A</v>
      </c>
    </row>
    <row r="156" s="5" customFormat="1" ht="40.5" hidden="1" spans="1:17">
      <c r="A156" s="40" t="s">
        <v>1010</v>
      </c>
      <c r="B156" s="48" t="s">
        <v>1011</v>
      </c>
      <c r="C156" s="40" t="str">
        <f>"661506407339100"</f>
        <v>661506407339100</v>
      </c>
      <c r="D156" s="40" t="s">
        <v>58</v>
      </c>
      <c r="E156" s="40" t="s">
        <v>1012</v>
      </c>
      <c r="F156" s="40" t="s">
        <v>1013</v>
      </c>
      <c r="G156" s="40" t="s">
        <v>60</v>
      </c>
      <c r="H156" s="40" t="s">
        <v>413</v>
      </c>
      <c r="I156" s="40"/>
      <c r="J156" s="40" t="s">
        <v>105</v>
      </c>
      <c r="K156" s="40" t="s">
        <v>1014</v>
      </c>
      <c r="L156" s="40" t="s">
        <v>1015</v>
      </c>
      <c r="M156" s="40">
        <v>0.6</v>
      </c>
      <c r="N156" s="52" t="s">
        <v>66</v>
      </c>
      <c r="O156" s="52"/>
      <c r="P156" s="26" t="s">
        <v>66</v>
      </c>
      <c r="Q156" s="5" t="e">
        <v>#N/A</v>
      </c>
    </row>
    <row r="157" s="5" customFormat="1" ht="54" spans="1:17">
      <c r="A157" s="41" t="s">
        <v>1016</v>
      </c>
      <c r="B157" s="54" t="s">
        <v>1017</v>
      </c>
      <c r="C157" s="41" t="str">
        <f>"661506407329500"</f>
        <v>661506407329500</v>
      </c>
      <c r="D157" s="40" t="s">
        <v>58</v>
      </c>
      <c r="E157" s="40" t="s">
        <v>1018</v>
      </c>
      <c r="F157" s="45" t="s">
        <v>1019</v>
      </c>
      <c r="G157" s="40" t="s">
        <v>60</v>
      </c>
      <c r="H157" s="40" t="s">
        <v>120</v>
      </c>
      <c r="I157" s="40"/>
      <c r="J157" s="40" t="s">
        <v>128</v>
      </c>
      <c r="K157" s="40" t="s">
        <v>263</v>
      </c>
      <c r="L157" s="40" t="s">
        <v>264</v>
      </c>
      <c r="M157" s="40">
        <v>0.6</v>
      </c>
      <c r="N157" s="52" t="s">
        <v>66</v>
      </c>
      <c r="O157" s="52"/>
      <c r="P157" s="26" t="s">
        <v>66</v>
      </c>
      <c r="Q157" s="5" t="e">
        <v>#N/A</v>
      </c>
    </row>
    <row r="158" s="6" customFormat="1" ht="40.5" hidden="1" spans="1:17">
      <c r="A158" s="46" t="s">
        <v>1020</v>
      </c>
      <c r="B158" s="49" t="s">
        <v>1021</v>
      </c>
      <c r="C158" s="46" t="str">
        <f>"661506407328900"</f>
        <v>661506407328900</v>
      </c>
      <c r="D158" s="46" t="s">
        <v>58</v>
      </c>
      <c r="E158" s="46" t="s">
        <v>1022</v>
      </c>
      <c r="F158" s="47" t="s">
        <v>1023</v>
      </c>
      <c r="G158" s="46" t="s">
        <v>60</v>
      </c>
      <c r="H158" s="46" t="s">
        <v>153</v>
      </c>
      <c r="I158" s="114" t="s">
        <v>1024</v>
      </c>
      <c r="J158" s="46" t="s">
        <v>128</v>
      </c>
      <c r="K158" s="46" t="s">
        <v>658</v>
      </c>
      <c r="L158" s="46" t="s">
        <v>659</v>
      </c>
      <c r="M158" s="46">
        <v>0.6</v>
      </c>
      <c r="N158" s="52" t="s">
        <v>66</v>
      </c>
      <c r="O158" s="52"/>
      <c r="P158" s="26" t="s">
        <v>66</v>
      </c>
      <c r="Q158" s="6" t="e">
        <v>#N/A</v>
      </c>
    </row>
    <row r="159" s="5" customFormat="1" ht="40.5" hidden="1" spans="1:17">
      <c r="A159" s="40" t="s">
        <v>1025</v>
      </c>
      <c r="B159" s="48" t="s">
        <v>1026</v>
      </c>
      <c r="C159" s="40" t="str">
        <f>"661506407324100"</f>
        <v>661506407324100</v>
      </c>
      <c r="D159" s="40" t="s">
        <v>464</v>
      </c>
      <c r="E159" s="40" t="s">
        <v>1027</v>
      </c>
      <c r="F159" s="45" t="s">
        <v>1028</v>
      </c>
      <c r="G159" s="40" t="s">
        <v>60</v>
      </c>
      <c r="H159" s="40" t="s">
        <v>153</v>
      </c>
      <c r="I159" s="40" t="s">
        <v>1029</v>
      </c>
      <c r="J159" s="40" t="s">
        <v>380</v>
      </c>
      <c r="K159" s="40" t="s">
        <v>1030</v>
      </c>
      <c r="L159" s="40" t="s">
        <v>1031</v>
      </c>
      <c r="M159" s="40">
        <v>0.6</v>
      </c>
      <c r="N159" s="52" t="s">
        <v>66</v>
      </c>
      <c r="O159" s="52"/>
      <c r="P159" s="26" t="s">
        <v>68</v>
      </c>
      <c r="Q159" s="5" t="e">
        <v>#N/A</v>
      </c>
    </row>
    <row r="160" s="5" customFormat="1" ht="40.5" hidden="1" spans="1:17">
      <c r="A160" s="40" t="s">
        <v>1032</v>
      </c>
      <c r="B160" s="48" t="s">
        <v>1033</v>
      </c>
      <c r="C160" s="40" t="str">
        <f>"661506407170400"</f>
        <v>661506407170400</v>
      </c>
      <c r="D160" s="40" t="s">
        <v>532</v>
      </c>
      <c r="E160" s="40" t="s">
        <v>1034</v>
      </c>
      <c r="F160" s="45" t="s">
        <v>1035</v>
      </c>
      <c r="G160" s="40" t="s">
        <v>60</v>
      </c>
      <c r="H160" s="40" t="s">
        <v>1036</v>
      </c>
      <c r="I160" s="40" t="s">
        <v>619</v>
      </c>
      <c r="J160" s="40" t="s">
        <v>1037</v>
      </c>
      <c r="K160" s="40" t="s">
        <v>1038</v>
      </c>
      <c r="L160" s="40" t="s">
        <v>1039</v>
      </c>
      <c r="M160" s="40">
        <v>0.6</v>
      </c>
      <c r="N160" s="52" t="s">
        <v>66</v>
      </c>
      <c r="O160" s="52"/>
      <c r="P160" s="26" t="s">
        <v>68</v>
      </c>
      <c r="Q160" s="5" t="e">
        <v>#N/A</v>
      </c>
    </row>
    <row r="161" s="5" customFormat="1" ht="40.5" hidden="1" spans="1:17">
      <c r="A161" s="46" t="s">
        <v>1040</v>
      </c>
      <c r="B161" s="49" t="s">
        <v>1041</v>
      </c>
      <c r="C161" s="46" t="str">
        <f>"661506407156500"</f>
        <v>661506407156500</v>
      </c>
      <c r="D161" s="40" t="s">
        <v>464</v>
      </c>
      <c r="E161" s="40" t="s">
        <v>1042</v>
      </c>
      <c r="F161" s="40" t="s">
        <v>1043</v>
      </c>
      <c r="G161" s="40" t="s">
        <v>60</v>
      </c>
      <c r="H161" s="40" t="s">
        <v>498</v>
      </c>
      <c r="I161" s="112" t="s">
        <v>832</v>
      </c>
      <c r="J161" s="40" t="s">
        <v>631</v>
      </c>
      <c r="K161" s="40" t="s">
        <v>1044</v>
      </c>
      <c r="L161" s="40" t="s">
        <v>1045</v>
      </c>
      <c r="M161" s="40">
        <v>0.6</v>
      </c>
      <c r="N161" s="52" t="s">
        <v>66</v>
      </c>
      <c r="O161" s="52"/>
      <c r="P161" s="26" t="s">
        <v>66</v>
      </c>
      <c r="Q161" s="5" t="e">
        <v>#N/A</v>
      </c>
    </row>
    <row r="162" s="5" customFormat="1" ht="40.5" hidden="1" spans="1:17">
      <c r="A162" s="40" t="s">
        <v>1046</v>
      </c>
      <c r="B162" s="48" t="s">
        <v>1047</v>
      </c>
      <c r="C162" s="40" t="str">
        <f>"661506407156300"</f>
        <v>661506407156300</v>
      </c>
      <c r="D162" s="40" t="s">
        <v>1048</v>
      </c>
      <c r="E162" s="40" t="s">
        <v>1049</v>
      </c>
      <c r="F162" s="40" t="s">
        <v>1050</v>
      </c>
      <c r="G162" s="40" t="s">
        <v>60</v>
      </c>
      <c r="H162" s="40" t="s">
        <v>1051</v>
      </c>
      <c r="I162" s="40" t="s">
        <v>1052</v>
      </c>
      <c r="J162" s="40" t="s">
        <v>176</v>
      </c>
      <c r="K162" s="40" t="s">
        <v>1053</v>
      </c>
      <c r="L162" s="40" t="s">
        <v>1054</v>
      </c>
      <c r="M162" s="40">
        <v>0.6</v>
      </c>
      <c r="N162" s="52" t="s">
        <v>66</v>
      </c>
      <c r="O162" s="52"/>
      <c r="P162" s="26" t="s">
        <v>66</v>
      </c>
      <c r="Q162" s="5" t="e">
        <v>#N/A</v>
      </c>
    </row>
    <row r="163" s="5" customFormat="1" ht="40.5" hidden="1" spans="1:17">
      <c r="A163" s="40" t="s">
        <v>1055</v>
      </c>
      <c r="B163" s="48" t="s">
        <v>1056</v>
      </c>
      <c r="C163" s="40" t="str">
        <f>"661506407147100"</f>
        <v>661506407147100</v>
      </c>
      <c r="D163" s="40" t="s">
        <v>455</v>
      </c>
      <c r="E163" s="40" t="s">
        <v>1057</v>
      </c>
      <c r="F163" s="45" t="s">
        <v>1058</v>
      </c>
      <c r="G163" s="40" t="s">
        <v>60</v>
      </c>
      <c r="H163" s="40" t="s">
        <v>153</v>
      </c>
      <c r="I163" s="40" t="s">
        <v>1059</v>
      </c>
      <c r="J163" s="40" t="s">
        <v>296</v>
      </c>
      <c r="K163" s="40" t="s">
        <v>1060</v>
      </c>
      <c r="L163" s="40" t="s">
        <v>1061</v>
      </c>
      <c r="M163" s="40">
        <v>0.6</v>
      </c>
      <c r="N163" s="46" t="s">
        <v>730</v>
      </c>
      <c r="O163" s="46" t="s">
        <v>731</v>
      </c>
      <c r="P163" s="26" t="s">
        <v>68</v>
      </c>
      <c r="Q163" s="5" t="e">
        <v>#N/A</v>
      </c>
    </row>
    <row r="164" s="5" customFormat="1" ht="40.5" hidden="1" spans="1:17">
      <c r="A164" s="46" t="s">
        <v>1062</v>
      </c>
      <c r="B164" s="49" t="s">
        <v>1063</v>
      </c>
      <c r="C164" s="46" t="str">
        <f>"661506407146400"</f>
        <v>661506407146400</v>
      </c>
      <c r="D164" s="40" t="s">
        <v>58</v>
      </c>
      <c r="E164" s="40" t="s">
        <v>1064</v>
      </c>
      <c r="F164" s="45"/>
      <c r="G164" s="40" t="s">
        <v>60</v>
      </c>
      <c r="H164" s="40" t="s">
        <v>486</v>
      </c>
      <c r="I164" s="40"/>
      <c r="J164" s="40" t="s">
        <v>805</v>
      </c>
      <c r="K164" s="40" t="s">
        <v>1065</v>
      </c>
      <c r="L164" s="40" t="s">
        <v>1066</v>
      </c>
      <c r="M164" s="40">
        <v>0.6</v>
      </c>
      <c r="N164" s="58" t="s">
        <v>163</v>
      </c>
      <c r="O164" s="60" t="s">
        <v>1067</v>
      </c>
      <c r="P164" s="26" t="s">
        <v>68</v>
      </c>
      <c r="Q164" s="5" t="e">
        <v>#N/A</v>
      </c>
    </row>
    <row r="165" s="5" customFormat="1" ht="40.5" hidden="1" spans="1:17">
      <c r="A165" s="40" t="s">
        <v>1068</v>
      </c>
      <c r="B165" s="48" t="s">
        <v>1069</v>
      </c>
      <c r="C165" s="40" t="str">
        <f>"661506407144400"</f>
        <v>661506407144400</v>
      </c>
      <c r="D165" s="40" t="s">
        <v>58</v>
      </c>
      <c r="E165" s="40" t="s">
        <v>1070</v>
      </c>
      <c r="F165" s="45"/>
      <c r="G165" s="40" t="s">
        <v>60</v>
      </c>
      <c r="H165" s="40" t="s">
        <v>153</v>
      </c>
      <c r="I165" s="40"/>
      <c r="J165" s="40" t="s">
        <v>105</v>
      </c>
      <c r="K165" s="40" t="s">
        <v>1071</v>
      </c>
      <c r="L165" s="40" t="s">
        <v>1072</v>
      </c>
      <c r="M165" s="40">
        <v>0.6</v>
      </c>
      <c r="N165" s="52" t="s">
        <v>66</v>
      </c>
      <c r="O165" s="52" t="s">
        <v>1073</v>
      </c>
      <c r="P165" s="26" t="s">
        <v>68</v>
      </c>
      <c r="Q165" s="5" t="e">
        <v>#N/A</v>
      </c>
    </row>
    <row r="166" s="5" customFormat="1" ht="40.5" hidden="1" spans="1:17">
      <c r="A166" s="40" t="s">
        <v>1074</v>
      </c>
      <c r="B166" s="48" t="s">
        <v>1075</v>
      </c>
      <c r="C166" s="40" t="str">
        <f>"661506407138500"</f>
        <v>661506407138500</v>
      </c>
      <c r="D166" s="40" t="s">
        <v>697</v>
      </c>
      <c r="E166" s="40" t="s">
        <v>1076</v>
      </c>
      <c r="F166" s="45"/>
      <c r="G166" s="40" t="s">
        <v>60</v>
      </c>
      <c r="H166" s="40" t="s">
        <v>167</v>
      </c>
      <c r="I166" s="40"/>
      <c r="J166" s="40" t="s">
        <v>80</v>
      </c>
      <c r="K166" s="40" t="s">
        <v>1077</v>
      </c>
      <c r="L166" s="40" t="s">
        <v>1078</v>
      </c>
      <c r="M166" s="40">
        <v>0.6</v>
      </c>
      <c r="N166" s="52" t="s">
        <v>66</v>
      </c>
      <c r="O166" s="52"/>
      <c r="P166" s="26" t="s">
        <v>66</v>
      </c>
      <c r="Q166" s="5" t="e">
        <v>#N/A</v>
      </c>
    </row>
    <row r="167" s="5" customFormat="1" ht="40.5" hidden="1" spans="1:17">
      <c r="A167" s="46" t="s">
        <v>1079</v>
      </c>
      <c r="B167" s="49" t="s">
        <v>1080</v>
      </c>
      <c r="C167" s="46" t="str">
        <f>"661506407124400"</f>
        <v>661506407124400</v>
      </c>
      <c r="D167" s="40" t="s">
        <v>464</v>
      </c>
      <c r="E167" s="40" t="s">
        <v>1081</v>
      </c>
      <c r="F167" s="40"/>
      <c r="G167" s="40" t="s">
        <v>60</v>
      </c>
      <c r="H167" s="40" t="s">
        <v>240</v>
      </c>
      <c r="I167" s="112" t="s">
        <v>154</v>
      </c>
      <c r="J167" s="40" t="s">
        <v>80</v>
      </c>
      <c r="K167" s="40" t="s">
        <v>1082</v>
      </c>
      <c r="L167" s="40" t="s">
        <v>1083</v>
      </c>
      <c r="M167" s="40">
        <v>0.6</v>
      </c>
      <c r="N167" s="52" t="s">
        <v>66</v>
      </c>
      <c r="O167" s="52"/>
      <c r="P167" s="26" t="s">
        <v>66</v>
      </c>
      <c r="Q167" s="5" t="e">
        <v>#N/A</v>
      </c>
    </row>
    <row r="168" s="5" customFormat="1" ht="40.5" hidden="1" spans="1:17">
      <c r="A168" s="40" t="s">
        <v>1084</v>
      </c>
      <c r="B168" s="48" t="s">
        <v>1085</v>
      </c>
      <c r="C168" s="40" t="str">
        <f>"661506407123300"</f>
        <v>661506407123300</v>
      </c>
      <c r="D168" s="40" t="s">
        <v>455</v>
      </c>
      <c r="E168" s="40" t="s">
        <v>1086</v>
      </c>
      <c r="F168" s="45" t="s">
        <v>1087</v>
      </c>
      <c r="G168" s="40" t="s">
        <v>60</v>
      </c>
      <c r="H168" s="40" t="s">
        <v>270</v>
      </c>
      <c r="I168" s="40"/>
      <c r="J168" s="40" t="s">
        <v>146</v>
      </c>
      <c r="K168" s="40" t="s">
        <v>1088</v>
      </c>
      <c r="L168" s="40" t="s">
        <v>1089</v>
      </c>
      <c r="M168" s="40">
        <v>0.6</v>
      </c>
      <c r="N168" s="52" t="s">
        <v>66</v>
      </c>
      <c r="O168" s="52"/>
      <c r="P168" s="26" t="s">
        <v>66</v>
      </c>
      <c r="Q168" s="5" t="e">
        <v>#N/A</v>
      </c>
    </row>
    <row r="169" s="5" customFormat="1" ht="67.5" hidden="1" spans="1:17">
      <c r="A169" s="40" t="s">
        <v>1090</v>
      </c>
      <c r="B169" s="48" t="s">
        <v>1091</v>
      </c>
      <c r="C169" s="40" t="str">
        <f>"661506407113000"</f>
        <v>661506407113000</v>
      </c>
      <c r="D169" s="40" t="s">
        <v>58</v>
      </c>
      <c r="E169" s="40" t="s">
        <v>1092</v>
      </c>
      <c r="F169" s="45" t="s">
        <v>1093</v>
      </c>
      <c r="G169" s="40" t="s">
        <v>60</v>
      </c>
      <c r="H169" s="40" t="s">
        <v>482</v>
      </c>
      <c r="I169" s="40"/>
      <c r="J169" s="40" t="s">
        <v>128</v>
      </c>
      <c r="K169" s="40" t="s">
        <v>1094</v>
      </c>
      <c r="L169" s="40" t="s">
        <v>1095</v>
      </c>
      <c r="M169" s="40">
        <v>0.6</v>
      </c>
      <c r="N169" s="58" t="s">
        <v>163</v>
      </c>
      <c r="O169" s="60" t="s">
        <v>1096</v>
      </c>
      <c r="P169" s="37"/>
      <c r="Q169" s="5" t="e">
        <v>#N/A</v>
      </c>
    </row>
    <row r="170" s="5" customFormat="1" ht="40.5" hidden="1" spans="1:17">
      <c r="A170" s="40" t="s">
        <v>1097</v>
      </c>
      <c r="B170" s="48" t="s">
        <v>1098</v>
      </c>
      <c r="C170" s="40" t="str">
        <f>"661506407112800"</f>
        <v>661506407112800</v>
      </c>
      <c r="D170" s="40" t="s">
        <v>58</v>
      </c>
      <c r="E170" s="40" t="s">
        <v>1099</v>
      </c>
      <c r="F170" s="40" t="s">
        <v>1100</v>
      </c>
      <c r="G170" s="40" t="s">
        <v>60</v>
      </c>
      <c r="H170" s="40" t="s">
        <v>153</v>
      </c>
      <c r="I170" s="112" t="s">
        <v>1101</v>
      </c>
      <c r="J170" s="40" t="s">
        <v>1102</v>
      </c>
      <c r="K170" s="40" t="s">
        <v>1103</v>
      </c>
      <c r="L170" s="40" t="s">
        <v>1104</v>
      </c>
      <c r="M170" s="40">
        <v>0.6</v>
      </c>
      <c r="N170" s="52" t="s">
        <v>66</v>
      </c>
      <c r="O170" s="52"/>
      <c r="P170" s="61" t="s">
        <v>1105</v>
      </c>
      <c r="Q170" s="5" t="e">
        <v>#N/A</v>
      </c>
    </row>
    <row r="171" s="5" customFormat="1" ht="40.5" hidden="1" spans="1:17">
      <c r="A171" s="40" t="s">
        <v>1106</v>
      </c>
      <c r="B171" s="48" t="s">
        <v>1107</v>
      </c>
      <c r="C171" s="40" t="str">
        <f>"661506407112700"</f>
        <v>661506407112700</v>
      </c>
      <c r="D171" s="40" t="s">
        <v>58</v>
      </c>
      <c r="E171" s="40" t="s">
        <v>1108</v>
      </c>
      <c r="F171" s="40" t="s">
        <v>1109</v>
      </c>
      <c r="G171" s="40" t="s">
        <v>60</v>
      </c>
      <c r="H171" s="40" t="s">
        <v>153</v>
      </c>
      <c r="I171" s="112" t="s">
        <v>1110</v>
      </c>
      <c r="J171" s="40" t="s">
        <v>105</v>
      </c>
      <c r="K171" s="40" t="s">
        <v>1111</v>
      </c>
      <c r="L171" s="40" t="s">
        <v>1112</v>
      </c>
      <c r="M171" s="40">
        <v>0.6</v>
      </c>
      <c r="N171" s="52" t="s">
        <v>66</v>
      </c>
      <c r="O171" s="52"/>
      <c r="P171" s="37" t="s">
        <v>66</v>
      </c>
      <c r="Q171" s="5" t="e">
        <v>#N/A</v>
      </c>
    </row>
    <row r="172" s="5" customFormat="1" ht="40.5" hidden="1" spans="1:17">
      <c r="A172" s="46" t="s">
        <v>1113</v>
      </c>
      <c r="B172" s="49" t="s">
        <v>1114</v>
      </c>
      <c r="C172" s="46" t="str">
        <f>"661506407066800"</f>
        <v>661506407066800</v>
      </c>
      <c r="D172" s="40" t="s">
        <v>1048</v>
      </c>
      <c r="E172" s="40" t="s">
        <v>1115</v>
      </c>
      <c r="F172" s="45" t="s">
        <v>1116</v>
      </c>
      <c r="G172" s="40" t="s">
        <v>60</v>
      </c>
      <c r="H172" s="40" t="s">
        <v>820</v>
      </c>
      <c r="I172" s="40"/>
      <c r="J172" s="40" t="s">
        <v>311</v>
      </c>
      <c r="K172" s="40" t="s">
        <v>1117</v>
      </c>
      <c r="L172" s="40" t="s">
        <v>1118</v>
      </c>
      <c r="M172" s="40">
        <v>0.6</v>
      </c>
      <c r="N172" s="46" t="s">
        <v>730</v>
      </c>
      <c r="O172" s="46" t="s">
        <v>731</v>
      </c>
      <c r="P172" s="61" t="s">
        <v>68</v>
      </c>
      <c r="Q172" s="5" t="e">
        <v>#N/A</v>
      </c>
    </row>
    <row r="173" s="5" customFormat="1" ht="40.5" hidden="1" spans="1:17">
      <c r="A173" s="40" t="s">
        <v>1119</v>
      </c>
      <c r="B173" s="48" t="s">
        <v>1120</v>
      </c>
      <c r="C173" s="40" t="str">
        <f>"661506407062400"</f>
        <v>661506407062400</v>
      </c>
      <c r="D173" s="40" t="s">
        <v>58</v>
      </c>
      <c r="E173" s="40" t="s">
        <v>1121</v>
      </c>
      <c r="F173" s="40" t="s">
        <v>1122</v>
      </c>
      <c r="G173" s="40" t="s">
        <v>60</v>
      </c>
      <c r="H173" s="40" t="s">
        <v>126</v>
      </c>
      <c r="I173" s="112" t="s">
        <v>359</v>
      </c>
      <c r="J173" s="40" t="s">
        <v>63</v>
      </c>
      <c r="K173" s="40" t="s">
        <v>1123</v>
      </c>
      <c r="L173" s="40" t="s">
        <v>1124</v>
      </c>
      <c r="M173" s="40">
        <v>0.6</v>
      </c>
      <c r="N173" s="52" t="s">
        <v>66</v>
      </c>
      <c r="O173" s="52"/>
      <c r="P173" s="37" t="s">
        <v>66</v>
      </c>
      <c r="Q173" s="5" t="e">
        <v>#N/A</v>
      </c>
    </row>
    <row r="174" s="5" customFormat="1" ht="40.5" hidden="1" spans="1:17">
      <c r="A174" s="40" t="s">
        <v>1125</v>
      </c>
      <c r="B174" s="48" t="s">
        <v>1126</v>
      </c>
      <c r="C174" s="40" t="str">
        <f>"661506407058600"</f>
        <v>661506407058600</v>
      </c>
      <c r="D174" s="40" t="s">
        <v>58</v>
      </c>
      <c r="E174" s="40" t="s">
        <v>1127</v>
      </c>
      <c r="F174" s="45" t="s">
        <v>1128</v>
      </c>
      <c r="G174" s="40" t="s">
        <v>60</v>
      </c>
      <c r="H174" s="40" t="s">
        <v>378</v>
      </c>
      <c r="I174" s="40" t="s">
        <v>1129</v>
      </c>
      <c r="J174" s="40" t="s">
        <v>228</v>
      </c>
      <c r="K174" s="40" t="s">
        <v>1130</v>
      </c>
      <c r="L174" s="40" t="s">
        <v>1131</v>
      </c>
      <c r="M174" s="40">
        <v>0.6</v>
      </c>
      <c r="N174" s="52" t="s">
        <v>66</v>
      </c>
      <c r="O174" s="52"/>
      <c r="P174" s="37" t="s">
        <v>66</v>
      </c>
      <c r="Q174" s="5" t="e">
        <v>#N/A</v>
      </c>
    </row>
    <row r="175" s="5" customFormat="1" ht="40.5" hidden="1" spans="1:17">
      <c r="A175" s="40" t="s">
        <v>1132</v>
      </c>
      <c r="B175" s="48" t="s">
        <v>1133</v>
      </c>
      <c r="C175" s="40" t="str">
        <f>"661506406966400"</f>
        <v>661506406966400</v>
      </c>
      <c r="D175" s="40" t="s">
        <v>58</v>
      </c>
      <c r="E175" s="40" t="s">
        <v>1134</v>
      </c>
      <c r="F175" s="45" t="s">
        <v>1135</v>
      </c>
      <c r="G175" s="40" t="s">
        <v>60</v>
      </c>
      <c r="H175" s="40" t="s">
        <v>1136</v>
      </c>
      <c r="I175" s="40"/>
      <c r="J175" s="40" t="s">
        <v>128</v>
      </c>
      <c r="K175" s="40" t="s">
        <v>263</v>
      </c>
      <c r="L175" s="40" t="s">
        <v>264</v>
      </c>
      <c r="M175" s="40">
        <v>0.6</v>
      </c>
      <c r="N175" s="52" t="s">
        <v>66</v>
      </c>
      <c r="O175" s="52"/>
      <c r="P175" s="37" t="s">
        <v>66</v>
      </c>
      <c r="Q175" s="5" t="e">
        <v>#N/A</v>
      </c>
    </row>
    <row r="176" s="5" customFormat="1" ht="54" hidden="1" spans="1:17">
      <c r="A176" s="40" t="s">
        <v>1137</v>
      </c>
      <c r="B176" s="48" t="s">
        <v>1138</v>
      </c>
      <c r="C176" s="40" t="str">
        <f>"661506406918400"</f>
        <v>661506406918400</v>
      </c>
      <c r="D176" s="40" t="s">
        <v>58</v>
      </c>
      <c r="E176" s="40" t="s">
        <v>1139</v>
      </c>
      <c r="F176" s="45" t="s">
        <v>1140</v>
      </c>
      <c r="G176" s="40" t="s">
        <v>60</v>
      </c>
      <c r="H176" s="40" t="s">
        <v>120</v>
      </c>
      <c r="I176" s="40"/>
      <c r="J176" s="40" t="s">
        <v>80</v>
      </c>
      <c r="K176" s="40" t="s">
        <v>169</v>
      </c>
      <c r="L176" s="40" t="s">
        <v>170</v>
      </c>
      <c r="M176" s="40">
        <v>0.6</v>
      </c>
      <c r="N176" s="52" t="s">
        <v>66</v>
      </c>
      <c r="O176" s="52"/>
      <c r="P176" s="37" t="s">
        <v>66</v>
      </c>
      <c r="Q176" s="5" t="e">
        <v>#N/A</v>
      </c>
    </row>
    <row r="177" s="5" customFormat="1" ht="54" hidden="1" spans="1:17">
      <c r="A177" s="40" t="s">
        <v>1141</v>
      </c>
      <c r="B177" s="48" t="s">
        <v>1142</v>
      </c>
      <c r="C177" s="40" t="str">
        <f>"661506406908400"</f>
        <v>661506406908400</v>
      </c>
      <c r="D177" s="40" t="s">
        <v>58</v>
      </c>
      <c r="E177" s="40" t="s">
        <v>1143</v>
      </c>
      <c r="F177" s="45" t="s">
        <v>1144</v>
      </c>
      <c r="G177" s="40" t="s">
        <v>60</v>
      </c>
      <c r="H177" s="40" t="s">
        <v>120</v>
      </c>
      <c r="I177" s="40" t="s">
        <v>121</v>
      </c>
      <c r="J177" s="40" t="s">
        <v>1145</v>
      </c>
      <c r="K177" s="40" t="s">
        <v>1146</v>
      </c>
      <c r="L177" s="40" t="s">
        <v>1147</v>
      </c>
      <c r="M177" s="40">
        <v>0.6</v>
      </c>
      <c r="N177" s="46" t="s">
        <v>730</v>
      </c>
      <c r="O177" s="46" t="s">
        <v>731</v>
      </c>
      <c r="P177" s="37" t="s">
        <v>68</v>
      </c>
      <c r="Q177" s="5" t="e">
        <v>#N/A</v>
      </c>
    </row>
    <row r="178" s="5" customFormat="1" ht="54" hidden="1" spans="1:17">
      <c r="A178" s="40" t="s">
        <v>1148</v>
      </c>
      <c r="B178" s="48" t="s">
        <v>1149</v>
      </c>
      <c r="C178" s="40" t="str">
        <f>"661506406904900"</f>
        <v>661506406904900</v>
      </c>
      <c r="D178" s="40" t="s">
        <v>58</v>
      </c>
      <c r="E178" s="40" t="s">
        <v>1150</v>
      </c>
      <c r="F178" s="40" t="s">
        <v>1151</v>
      </c>
      <c r="G178" s="40" t="s">
        <v>60</v>
      </c>
      <c r="H178" s="40" t="s">
        <v>626</v>
      </c>
      <c r="I178" s="112" t="s">
        <v>145</v>
      </c>
      <c r="J178" s="40" t="s">
        <v>128</v>
      </c>
      <c r="K178" s="40" t="s">
        <v>185</v>
      </c>
      <c r="L178" s="40" t="s">
        <v>169</v>
      </c>
      <c r="M178" s="40">
        <v>0.6</v>
      </c>
      <c r="N178" s="52" t="s">
        <v>66</v>
      </c>
      <c r="O178" s="52"/>
      <c r="P178" s="37" t="s">
        <v>66</v>
      </c>
      <c r="Q178" s="5" t="e">
        <v>#N/A</v>
      </c>
    </row>
    <row r="179" s="5" customFormat="1" ht="40.5" hidden="1" spans="1:17">
      <c r="A179" s="40" t="s">
        <v>1152</v>
      </c>
      <c r="B179" s="48" t="s">
        <v>1153</v>
      </c>
      <c r="C179" s="40" t="str">
        <f>"661506406904800"</f>
        <v>661506406904800</v>
      </c>
      <c r="D179" s="40" t="s">
        <v>58</v>
      </c>
      <c r="E179" s="40" t="s">
        <v>1154</v>
      </c>
      <c r="F179" s="40" t="s">
        <v>1155</v>
      </c>
      <c r="G179" s="40" t="s">
        <v>143</v>
      </c>
      <c r="H179" s="40" t="s">
        <v>413</v>
      </c>
      <c r="I179" s="112" t="s">
        <v>619</v>
      </c>
      <c r="J179" s="40" t="s">
        <v>128</v>
      </c>
      <c r="K179" s="40" t="s">
        <v>1156</v>
      </c>
      <c r="L179" s="40" t="s">
        <v>1157</v>
      </c>
      <c r="M179" s="40">
        <v>0.6</v>
      </c>
      <c r="N179" s="52" t="s">
        <v>66</v>
      </c>
      <c r="O179" s="52"/>
      <c r="P179" s="37" t="s">
        <v>66</v>
      </c>
      <c r="Q179" s="5" t="e">
        <v>#N/A</v>
      </c>
    </row>
    <row r="180" s="5" customFormat="1" ht="40.5" hidden="1" spans="1:17">
      <c r="A180" s="46" t="s">
        <v>1158</v>
      </c>
      <c r="B180" s="49" t="s">
        <v>1159</v>
      </c>
      <c r="C180" s="46" t="str">
        <f>"661506406798600"</f>
        <v>661506406798600</v>
      </c>
      <c r="D180" s="40" t="s">
        <v>58</v>
      </c>
      <c r="E180" s="40" t="s">
        <v>1160</v>
      </c>
      <c r="F180" s="45" t="s">
        <v>1161</v>
      </c>
      <c r="G180" s="40" t="s">
        <v>60</v>
      </c>
      <c r="H180" s="40" t="s">
        <v>219</v>
      </c>
      <c r="I180" s="40" t="s">
        <v>135</v>
      </c>
      <c r="J180" s="40" t="s">
        <v>105</v>
      </c>
      <c r="K180" s="40" t="s">
        <v>658</v>
      </c>
      <c r="L180" s="40" t="s">
        <v>659</v>
      </c>
      <c r="M180" s="40">
        <v>0.6</v>
      </c>
      <c r="N180" s="46" t="s">
        <v>730</v>
      </c>
      <c r="O180" s="46" t="s">
        <v>731</v>
      </c>
      <c r="P180" s="37" t="s">
        <v>68</v>
      </c>
      <c r="Q180" s="5" t="e">
        <v>#N/A</v>
      </c>
    </row>
    <row r="181" s="5" customFormat="1" ht="40.5" hidden="1" spans="1:17">
      <c r="A181" s="40" t="s">
        <v>1162</v>
      </c>
      <c r="B181" s="48" t="s">
        <v>1163</v>
      </c>
      <c r="C181" s="40" t="str">
        <f>"661506406766500"</f>
        <v>661506406766500</v>
      </c>
      <c r="D181" s="40" t="s">
        <v>58</v>
      </c>
      <c r="E181" s="40" t="s">
        <v>1164</v>
      </c>
      <c r="F181" s="45" t="s">
        <v>1165</v>
      </c>
      <c r="G181" s="40" t="s">
        <v>60</v>
      </c>
      <c r="H181" s="40" t="s">
        <v>439</v>
      </c>
      <c r="I181" s="40" t="s">
        <v>1166</v>
      </c>
      <c r="J181" s="40" t="s">
        <v>63</v>
      </c>
      <c r="K181" s="40" t="s">
        <v>1167</v>
      </c>
      <c r="L181" s="40" t="s">
        <v>1168</v>
      </c>
      <c r="M181" s="40">
        <v>0.6</v>
      </c>
      <c r="N181" s="46" t="s">
        <v>730</v>
      </c>
      <c r="O181" s="46" t="s">
        <v>731</v>
      </c>
      <c r="P181" s="37" t="s">
        <v>68</v>
      </c>
      <c r="Q181" s="5" t="e">
        <v>#N/A</v>
      </c>
    </row>
    <row r="182" s="5" customFormat="1" ht="40.5" spans="1:17">
      <c r="A182" s="56" t="s">
        <v>1169</v>
      </c>
      <c r="B182" s="57" t="s">
        <v>1170</v>
      </c>
      <c r="C182" s="56" t="str">
        <f>"661506406750400"</f>
        <v>661506406750400</v>
      </c>
      <c r="D182" s="40" t="s">
        <v>58</v>
      </c>
      <c r="E182" s="40" t="s">
        <v>1171</v>
      </c>
      <c r="F182" s="45"/>
      <c r="G182" s="40" t="s">
        <v>60</v>
      </c>
      <c r="H182" s="40" t="s">
        <v>144</v>
      </c>
      <c r="I182" s="40"/>
      <c r="J182" s="40" t="s">
        <v>205</v>
      </c>
      <c r="K182" s="40" t="s">
        <v>214</v>
      </c>
      <c r="L182" s="40" t="s">
        <v>215</v>
      </c>
      <c r="M182" s="40">
        <v>0.6</v>
      </c>
      <c r="N182" s="52" t="s">
        <v>66</v>
      </c>
      <c r="O182" s="52"/>
      <c r="P182" s="37" t="s">
        <v>66</v>
      </c>
      <c r="Q182" s="5" t="e">
        <v>#N/A</v>
      </c>
    </row>
    <row r="183" s="5" customFormat="1" ht="40.5" hidden="1" spans="1:17">
      <c r="A183" s="40" t="s">
        <v>1172</v>
      </c>
      <c r="B183" s="48" t="s">
        <v>1173</v>
      </c>
      <c r="C183" s="40" t="str">
        <f>"661506406746600"</f>
        <v>661506406746600</v>
      </c>
      <c r="D183" s="40" t="s">
        <v>464</v>
      </c>
      <c r="E183" s="40" t="s">
        <v>1174</v>
      </c>
      <c r="F183" s="45"/>
      <c r="G183" s="40" t="s">
        <v>60</v>
      </c>
      <c r="H183" s="40" t="s">
        <v>1136</v>
      </c>
      <c r="I183" s="40"/>
      <c r="J183" s="40" t="s">
        <v>105</v>
      </c>
      <c r="K183" s="40" t="s">
        <v>1175</v>
      </c>
      <c r="L183" s="40" t="s">
        <v>1176</v>
      </c>
      <c r="M183" s="40">
        <v>0.6</v>
      </c>
      <c r="N183" s="46" t="s">
        <v>730</v>
      </c>
      <c r="O183" s="46" t="s">
        <v>731</v>
      </c>
      <c r="P183" s="37" t="s">
        <v>68</v>
      </c>
      <c r="Q183" s="5" t="e">
        <v>#N/A</v>
      </c>
    </row>
    <row r="184" s="6" customFormat="1" ht="40.5" hidden="1" spans="1:17">
      <c r="A184" s="40" t="s">
        <v>1177</v>
      </c>
      <c r="B184" s="48" t="s">
        <v>1178</v>
      </c>
      <c r="C184" s="40" t="str">
        <f>"661506406742500"</f>
        <v>661506406742500</v>
      </c>
      <c r="D184" s="46" t="s">
        <v>58</v>
      </c>
      <c r="E184" s="46" t="s">
        <v>1179</v>
      </c>
      <c r="F184" s="47"/>
      <c r="G184" s="46" t="s">
        <v>60</v>
      </c>
      <c r="H184" s="46" t="s">
        <v>1180</v>
      </c>
      <c r="I184" s="114" t="s">
        <v>154</v>
      </c>
      <c r="J184" s="46" t="s">
        <v>205</v>
      </c>
      <c r="K184" s="46" t="s">
        <v>1181</v>
      </c>
      <c r="L184" s="46" t="s">
        <v>1182</v>
      </c>
      <c r="M184" s="46">
        <v>0.6</v>
      </c>
      <c r="N184" s="52" t="s">
        <v>66</v>
      </c>
      <c r="O184" s="52"/>
      <c r="P184" s="37" t="s">
        <v>66</v>
      </c>
      <c r="Q184" s="6" t="e">
        <v>#N/A</v>
      </c>
    </row>
    <row r="185" s="5" customFormat="1" ht="40.5" hidden="1" spans="1:17">
      <c r="A185" s="40" t="s">
        <v>1183</v>
      </c>
      <c r="B185" s="48" t="s">
        <v>1184</v>
      </c>
      <c r="C185" s="40" t="str">
        <f>"661506406742400"</f>
        <v>661506406742400</v>
      </c>
      <c r="D185" s="40" t="s">
        <v>495</v>
      </c>
      <c r="E185" s="40" t="s">
        <v>1185</v>
      </c>
      <c r="F185" s="45" t="s">
        <v>1186</v>
      </c>
      <c r="G185" s="40" t="s">
        <v>60</v>
      </c>
      <c r="H185" s="40" t="s">
        <v>1187</v>
      </c>
      <c r="I185" s="40"/>
      <c r="J185" s="40" t="s">
        <v>205</v>
      </c>
      <c r="K185" s="40" t="s">
        <v>1188</v>
      </c>
      <c r="L185" s="40" t="s">
        <v>1189</v>
      </c>
      <c r="M185" s="40">
        <v>0.6</v>
      </c>
      <c r="N185" s="46" t="s">
        <v>730</v>
      </c>
      <c r="O185" s="46" t="s">
        <v>731</v>
      </c>
      <c r="P185" s="37" t="s">
        <v>68</v>
      </c>
      <c r="Q185" s="5" t="e">
        <v>#N/A</v>
      </c>
    </row>
    <row r="186" s="5" customFormat="1" ht="54" hidden="1" spans="1:17">
      <c r="A186" s="40" t="s">
        <v>1190</v>
      </c>
      <c r="B186" s="48" t="s">
        <v>1191</v>
      </c>
      <c r="C186" s="40" t="str">
        <f>"661506406739500"</f>
        <v>661506406739500</v>
      </c>
      <c r="D186" s="40" t="s">
        <v>58</v>
      </c>
      <c r="E186" s="40" t="s">
        <v>1192</v>
      </c>
      <c r="F186" s="45"/>
      <c r="G186" s="40" t="s">
        <v>60</v>
      </c>
      <c r="H186" s="40" t="s">
        <v>153</v>
      </c>
      <c r="I186" s="40"/>
      <c r="J186" s="40" t="s">
        <v>128</v>
      </c>
      <c r="K186" s="40" t="s">
        <v>1193</v>
      </c>
      <c r="L186" s="40" t="s">
        <v>1194</v>
      </c>
      <c r="M186" s="40">
        <v>0.6</v>
      </c>
      <c r="N186" s="58" t="s">
        <v>163</v>
      </c>
      <c r="O186" s="60" t="s">
        <v>1195</v>
      </c>
      <c r="P186" s="37" t="s">
        <v>68</v>
      </c>
      <c r="Q186" s="5" t="e">
        <v>#N/A</v>
      </c>
    </row>
    <row r="187" s="5" customFormat="1" ht="40.5" spans="1:17">
      <c r="A187" s="58" t="s">
        <v>1196</v>
      </c>
      <c r="B187" s="59" t="s">
        <v>1197</v>
      </c>
      <c r="C187" s="58" t="str">
        <f>"661506406716700"</f>
        <v>661506406716700</v>
      </c>
      <c r="D187" s="40" t="s">
        <v>58</v>
      </c>
      <c r="E187" s="40" t="s">
        <v>1198</v>
      </c>
      <c r="F187" s="45"/>
      <c r="G187" s="40" t="s">
        <v>60</v>
      </c>
      <c r="H187" s="40" t="s">
        <v>144</v>
      </c>
      <c r="I187" s="40"/>
      <c r="J187" s="40" t="s">
        <v>128</v>
      </c>
      <c r="K187" s="40" t="s">
        <v>1199</v>
      </c>
      <c r="L187" s="40" t="s">
        <v>1200</v>
      </c>
      <c r="M187" s="40">
        <v>0.6</v>
      </c>
      <c r="N187" s="52" t="s">
        <v>66</v>
      </c>
      <c r="O187" s="52"/>
      <c r="P187" s="37" t="s">
        <v>66</v>
      </c>
      <c r="Q187" s="5" t="e">
        <v>#N/A</v>
      </c>
    </row>
    <row r="188" s="5" customFormat="1" ht="40.5" hidden="1" spans="1:17">
      <c r="A188" s="40" t="s">
        <v>1201</v>
      </c>
      <c r="B188" s="48" t="s">
        <v>1202</v>
      </c>
      <c r="C188" s="40" t="str">
        <f>"661506406662500"</f>
        <v>661506406662500</v>
      </c>
      <c r="D188" s="40" t="s">
        <v>58</v>
      </c>
      <c r="E188" s="40" t="s">
        <v>1203</v>
      </c>
      <c r="F188" s="45">
        <v>15044754981</v>
      </c>
      <c r="G188" s="40" t="s">
        <v>143</v>
      </c>
      <c r="H188" s="40" t="s">
        <v>1204</v>
      </c>
      <c r="I188" s="40"/>
      <c r="J188" s="40" t="s">
        <v>1205</v>
      </c>
      <c r="K188" s="40" t="s">
        <v>1206</v>
      </c>
      <c r="L188" s="40" t="s">
        <v>1207</v>
      </c>
      <c r="M188" s="40">
        <v>0.6</v>
      </c>
      <c r="N188" s="52" t="s">
        <v>66</v>
      </c>
      <c r="O188" s="52"/>
      <c r="P188" s="37" t="s">
        <v>66</v>
      </c>
      <c r="Q188" s="5" t="e">
        <v>#N/A</v>
      </c>
    </row>
    <row r="189" s="5" customFormat="1" ht="40.5" hidden="1" spans="1:17">
      <c r="A189" s="40" t="s">
        <v>1208</v>
      </c>
      <c r="B189" s="48" t="s">
        <v>1209</v>
      </c>
      <c r="C189" s="40" t="str">
        <f>"661506406624500"</f>
        <v>661506406624500</v>
      </c>
      <c r="D189" s="40" t="s">
        <v>58</v>
      </c>
      <c r="E189" s="40" t="s">
        <v>1210</v>
      </c>
      <c r="F189" s="45" t="s">
        <v>1211</v>
      </c>
      <c r="G189" s="40" t="s">
        <v>60</v>
      </c>
      <c r="H189" s="40" t="s">
        <v>153</v>
      </c>
      <c r="I189" s="40" t="s">
        <v>1212</v>
      </c>
      <c r="J189" s="40" t="s">
        <v>74</v>
      </c>
      <c r="K189" s="40" t="s">
        <v>1213</v>
      </c>
      <c r="L189" s="40" t="s">
        <v>1214</v>
      </c>
      <c r="M189" s="40">
        <v>0.6</v>
      </c>
      <c r="N189" s="46" t="s">
        <v>730</v>
      </c>
      <c r="O189" s="46" t="s">
        <v>731</v>
      </c>
      <c r="P189" s="37" t="s">
        <v>68</v>
      </c>
      <c r="Q189" s="5" t="e">
        <v>#N/A</v>
      </c>
    </row>
    <row r="190" s="5" customFormat="1" ht="40.5" spans="1:17">
      <c r="A190" s="56" t="s">
        <v>1215</v>
      </c>
      <c r="B190" s="57" t="s">
        <v>1216</v>
      </c>
      <c r="C190" s="56" t="str">
        <f>"661506406600400"</f>
        <v>661506406600400</v>
      </c>
      <c r="D190" s="40" t="s">
        <v>292</v>
      </c>
      <c r="E190" s="40" t="s">
        <v>1217</v>
      </c>
      <c r="F190" s="45" t="s">
        <v>1218</v>
      </c>
      <c r="G190" s="40" t="s">
        <v>60</v>
      </c>
      <c r="H190" s="40" t="s">
        <v>153</v>
      </c>
      <c r="I190" s="40" t="s">
        <v>262</v>
      </c>
      <c r="J190" s="40" t="s">
        <v>136</v>
      </c>
      <c r="K190" s="40" t="s">
        <v>1219</v>
      </c>
      <c r="L190" s="40" t="s">
        <v>1220</v>
      </c>
      <c r="M190" s="40">
        <v>0.6</v>
      </c>
      <c r="N190" s="46" t="s">
        <v>730</v>
      </c>
      <c r="O190" s="46" t="s">
        <v>731</v>
      </c>
      <c r="P190" s="37" t="s">
        <v>68</v>
      </c>
      <c r="Q190" s="5" t="e">
        <v>#N/A</v>
      </c>
    </row>
    <row r="191" s="5" customFormat="1" ht="40.5" hidden="1" spans="1:17">
      <c r="A191" s="40" t="s">
        <v>1221</v>
      </c>
      <c r="B191" s="48" t="s">
        <v>1222</v>
      </c>
      <c r="C191" s="40" t="str">
        <f>"661506406577100"</f>
        <v>661506406577100</v>
      </c>
      <c r="D191" s="40" t="s">
        <v>532</v>
      </c>
      <c r="E191" s="40" t="s">
        <v>1223</v>
      </c>
      <c r="F191" s="45" t="s">
        <v>1224</v>
      </c>
      <c r="G191" s="40" t="s">
        <v>60</v>
      </c>
      <c r="H191" s="40" t="s">
        <v>240</v>
      </c>
      <c r="I191" s="40"/>
      <c r="J191" s="40" t="s">
        <v>74</v>
      </c>
      <c r="K191" s="40" t="s">
        <v>1225</v>
      </c>
      <c r="L191" s="40" t="s">
        <v>1226</v>
      </c>
      <c r="M191" s="40">
        <v>0.6</v>
      </c>
      <c r="N191" s="52" t="s">
        <v>66</v>
      </c>
      <c r="O191" s="52"/>
      <c r="P191" s="37" t="s">
        <v>116</v>
      </c>
      <c r="Q191" s="5" t="e">
        <v>#N/A</v>
      </c>
    </row>
    <row r="192" s="5" customFormat="1" ht="40.5" hidden="1" spans="1:17">
      <c r="A192" s="40" t="s">
        <v>1227</v>
      </c>
      <c r="B192" s="48" t="s">
        <v>1228</v>
      </c>
      <c r="C192" s="40" t="str">
        <f>"661506406566600"</f>
        <v>661506406566600</v>
      </c>
      <c r="D192" s="40" t="s">
        <v>58</v>
      </c>
      <c r="E192" s="40" t="s">
        <v>1229</v>
      </c>
      <c r="F192" s="45" t="s">
        <v>1230</v>
      </c>
      <c r="G192" s="40" t="s">
        <v>60</v>
      </c>
      <c r="H192" s="40" t="s">
        <v>413</v>
      </c>
      <c r="I192" s="40"/>
      <c r="J192" s="40" t="s">
        <v>63</v>
      </c>
      <c r="K192" s="40" t="s">
        <v>1231</v>
      </c>
      <c r="L192" s="40" t="s">
        <v>1232</v>
      </c>
      <c r="M192" s="40">
        <v>0.6</v>
      </c>
      <c r="N192" s="46" t="s">
        <v>730</v>
      </c>
      <c r="O192" s="46" t="s">
        <v>731</v>
      </c>
      <c r="P192" s="37" t="s">
        <v>68</v>
      </c>
      <c r="Q192" s="5" t="e">
        <v>#N/A</v>
      </c>
    </row>
    <row r="193" s="6" customFormat="1" ht="40.5" hidden="1" spans="1:17">
      <c r="A193" s="40" t="s">
        <v>1233</v>
      </c>
      <c r="B193" s="48" t="s">
        <v>1234</v>
      </c>
      <c r="C193" s="40" t="str">
        <f>"661506406566400"</f>
        <v>661506406566400</v>
      </c>
      <c r="D193" s="46" t="s">
        <v>58</v>
      </c>
      <c r="E193" s="46" t="s">
        <v>1235</v>
      </c>
      <c r="F193" s="47" t="s">
        <v>1236</v>
      </c>
      <c r="G193" s="46" t="s">
        <v>60</v>
      </c>
      <c r="H193" s="46" t="s">
        <v>1237</v>
      </c>
      <c r="I193" s="114" t="s">
        <v>154</v>
      </c>
      <c r="J193" s="46" t="s">
        <v>128</v>
      </c>
      <c r="K193" s="46" t="s">
        <v>1238</v>
      </c>
      <c r="L193" s="46" t="s">
        <v>1239</v>
      </c>
      <c r="M193" s="46">
        <v>0.6</v>
      </c>
      <c r="N193" s="52" t="s">
        <v>66</v>
      </c>
      <c r="O193" s="52"/>
      <c r="P193" s="37" t="s">
        <v>66</v>
      </c>
      <c r="Q193" s="6" t="e">
        <v>#N/A</v>
      </c>
    </row>
    <row r="194" s="5" customFormat="1" ht="40.5" hidden="1" spans="1:17">
      <c r="A194" s="40" t="s">
        <v>1240</v>
      </c>
      <c r="B194" s="48" t="s">
        <v>1241</v>
      </c>
      <c r="C194" s="40" t="str">
        <f>"661506406560800"</f>
        <v>661506406560800</v>
      </c>
      <c r="D194" s="40" t="s">
        <v>58</v>
      </c>
      <c r="E194" s="40" t="s">
        <v>1242</v>
      </c>
      <c r="F194" s="45"/>
      <c r="G194" s="40" t="s">
        <v>60</v>
      </c>
      <c r="H194" s="40" t="s">
        <v>1243</v>
      </c>
      <c r="I194" s="40"/>
      <c r="J194" s="40" t="s">
        <v>805</v>
      </c>
      <c r="K194" s="40" t="s">
        <v>1244</v>
      </c>
      <c r="L194" s="40" t="s">
        <v>1245</v>
      </c>
      <c r="M194" s="40">
        <v>0.6</v>
      </c>
      <c r="N194" s="58" t="s">
        <v>163</v>
      </c>
      <c r="O194" s="60" t="s">
        <v>1246</v>
      </c>
      <c r="P194" s="37" t="s">
        <v>68</v>
      </c>
      <c r="Q194" s="5" t="e">
        <v>#N/A</v>
      </c>
    </row>
    <row r="195" s="5" customFormat="1" ht="54" hidden="1" spans="1:17">
      <c r="A195" s="40" t="s">
        <v>1247</v>
      </c>
      <c r="B195" s="48" t="s">
        <v>1248</v>
      </c>
      <c r="C195" s="40" t="str">
        <f>"661506406558400"</f>
        <v>661506406558400</v>
      </c>
      <c r="D195" s="40" t="s">
        <v>58</v>
      </c>
      <c r="E195" s="40" t="s">
        <v>1249</v>
      </c>
      <c r="F195" s="45" t="s">
        <v>1224</v>
      </c>
      <c r="G195" s="40" t="s">
        <v>60</v>
      </c>
      <c r="H195" s="40" t="s">
        <v>240</v>
      </c>
      <c r="I195" s="40"/>
      <c r="J195" s="40" t="s">
        <v>136</v>
      </c>
      <c r="K195" s="40" t="s">
        <v>1250</v>
      </c>
      <c r="L195" s="40" t="s">
        <v>1251</v>
      </c>
      <c r="M195" s="40">
        <v>0.6</v>
      </c>
      <c r="N195" s="58" t="s">
        <v>163</v>
      </c>
      <c r="O195" s="60" t="s">
        <v>1252</v>
      </c>
      <c r="P195" s="37" t="s">
        <v>68</v>
      </c>
      <c r="Q195" s="5" t="e">
        <v>#N/A</v>
      </c>
    </row>
    <row r="196" s="5" customFormat="1" ht="40.5" hidden="1" spans="1:17">
      <c r="A196" s="40" t="s">
        <v>1253</v>
      </c>
      <c r="B196" s="48" t="s">
        <v>1254</v>
      </c>
      <c r="C196" s="40" t="str">
        <f>"661506406556400"</f>
        <v>661506406556400</v>
      </c>
      <c r="D196" s="40" t="s">
        <v>58</v>
      </c>
      <c r="E196" s="40" t="s">
        <v>1255</v>
      </c>
      <c r="F196" s="45" t="s">
        <v>890</v>
      </c>
      <c r="G196" s="40" t="s">
        <v>60</v>
      </c>
      <c r="H196" s="40" t="s">
        <v>240</v>
      </c>
      <c r="I196" s="40"/>
      <c r="J196" s="40" t="s">
        <v>136</v>
      </c>
      <c r="K196" s="40" t="s">
        <v>1256</v>
      </c>
      <c r="L196" s="40" t="s">
        <v>1257</v>
      </c>
      <c r="M196" s="40">
        <v>0.6</v>
      </c>
      <c r="N196" s="52" t="s">
        <v>66</v>
      </c>
      <c r="O196" s="52"/>
      <c r="P196" s="37" t="s">
        <v>66</v>
      </c>
      <c r="Q196" s="5" t="e">
        <v>#N/A</v>
      </c>
    </row>
    <row r="197" s="5" customFormat="1" ht="40.5" hidden="1" spans="1:17">
      <c r="A197" s="40" t="s">
        <v>1258</v>
      </c>
      <c r="B197" s="48" t="s">
        <v>1259</v>
      </c>
      <c r="C197" s="40" t="str">
        <f>"661506406542400"</f>
        <v>661506406542400</v>
      </c>
      <c r="D197" s="40" t="s">
        <v>58</v>
      </c>
      <c r="E197" s="40" t="s">
        <v>1260</v>
      </c>
      <c r="F197" s="40" t="s">
        <v>1261</v>
      </c>
      <c r="G197" s="40" t="s">
        <v>60</v>
      </c>
      <c r="H197" s="40" t="s">
        <v>717</v>
      </c>
      <c r="I197" s="112" t="s">
        <v>1262</v>
      </c>
      <c r="J197" s="40" t="s">
        <v>80</v>
      </c>
      <c r="K197" s="40" t="s">
        <v>89</v>
      </c>
      <c r="L197" s="40" t="s">
        <v>90</v>
      </c>
      <c r="M197" s="40">
        <v>0.6</v>
      </c>
      <c r="N197" s="52" t="s">
        <v>66</v>
      </c>
      <c r="O197" s="52"/>
      <c r="P197" s="37" t="s">
        <v>66</v>
      </c>
      <c r="Q197" s="5" t="e">
        <v>#N/A</v>
      </c>
    </row>
    <row r="198" s="5" customFormat="1" ht="40.5" hidden="1" spans="1:17">
      <c r="A198" s="40" t="s">
        <v>1263</v>
      </c>
      <c r="B198" s="48" t="s">
        <v>1264</v>
      </c>
      <c r="C198" s="40" t="str">
        <f>"661506406540400"</f>
        <v>661506406540400</v>
      </c>
      <c r="D198" s="40" t="s">
        <v>58</v>
      </c>
      <c r="E198" s="40" t="s">
        <v>1265</v>
      </c>
      <c r="F198" s="40" t="s">
        <v>1266</v>
      </c>
      <c r="G198" s="40" t="s">
        <v>60</v>
      </c>
      <c r="H198" s="40" t="s">
        <v>1267</v>
      </c>
      <c r="I198" s="40" t="s">
        <v>397</v>
      </c>
      <c r="J198" s="40" t="s">
        <v>136</v>
      </c>
      <c r="K198" s="40" t="s">
        <v>1268</v>
      </c>
      <c r="L198" s="40" t="s">
        <v>1269</v>
      </c>
      <c r="M198" s="40">
        <v>0.6</v>
      </c>
      <c r="N198" s="52" t="s">
        <v>66</v>
      </c>
      <c r="O198" s="52"/>
      <c r="P198" s="61" t="s">
        <v>66</v>
      </c>
      <c r="Q198" s="5" t="e">
        <v>#N/A</v>
      </c>
    </row>
    <row r="199" s="5" customFormat="1" ht="40.5" hidden="1" spans="1:17">
      <c r="A199" s="40" t="s">
        <v>1270</v>
      </c>
      <c r="B199" s="48" t="s">
        <v>1271</v>
      </c>
      <c r="C199" s="40" t="str">
        <f>"661506406538600"</f>
        <v>661506406538600</v>
      </c>
      <c r="D199" s="40" t="s">
        <v>58</v>
      </c>
      <c r="E199" s="40" t="s">
        <v>1272</v>
      </c>
      <c r="F199" s="45" t="s">
        <v>1273</v>
      </c>
      <c r="G199" s="40" t="s">
        <v>60</v>
      </c>
      <c r="H199" s="40" t="s">
        <v>72</v>
      </c>
      <c r="I199" s="40"/>
      <c r="J199" s="40" t="s">
        <v>1274</v>
      </c>
      <c r="K199" s="40" t="s">
        <v>1275</v>
      </c>
      <c r="L199" s="40" t="s">
        <v>1276</v>
      </c>
      <c r="M199" s="40">
        <v>0.6</v>
      </c>
      <c r="N199" s="46" t="s">
        <v>730</v>
      </c>
      <c r="O199" s="46" t="s">
        <v>731</v>
      </c>
      <c r="P199" s="37" t="s">
        <v>68</v>
      </c>
      <c r="Q199" s="5" t="e">
        <v>#N/A</v>
      </c>
    </row>
    <row r="200" s="5" customFormat="1" ht="40.5" spans="1:17">
      <c r="A200" s="46" t="s">
        <v>1277</v>
      </c>
      <c r="B200" s="49" t="s">
        <v>1278</v>
      </c>
      <c r="C200" s="46" t="str">
        <f>"661506406530500"</f>
        <v>661506406530500</v>
      </c>
      <c r="D200" s="40" t="s">
        <v>58</v>
      </c>
      <c r="E200" s="40" t="s">
        <v>1279</v>
      </c>
      <c r="F200" s="45"/>
      <c r="G200" s="40" t="s">
        <v>60</v>
      </c>
      <c r="H200" s="40" t="s">
        <v>717</v>
      </c>
      <c r="I200" s="40" t="s">
        <v>1280</v>
      </c>
      <c r="J200" s="40" t="s">
        <v>176</v>
      </c>
      <c r="K200" s="40" t="s">
        <v>1281</v>
      </c>
      <c r="L200" s="40" t="s">
        <v>1282</v>
      </c>
      <c r="M200" s="40">
        <v>0.6</v>
      </c>
      <c r="N200" s="52" t="s">
        <v>66</v>
      </c>
      <c r="O200" s="52"/>
      <c r="P200" s="37" t="s">
        <v>66</v>
      </c>
      <c r="Q200" s="5" t="e">
        <v>#N/A</v>
      </c>
    </row>
    <row r="201" s="5" customFormat="1" ht="40.5" hidden="1" spans="1:17">
      <c r="A201" s="40" t="s">
        <v>1283</v>
      </c>
      <c r="B201" s="48" t="s">
        <v>1284</v>
      </c>
      <c r="C201" s="40" t="str">
        <f>"661506406452700"</f>
        <v>661506406452700</v>
      </c>
      <c r="D201" s="40" t="s">
        <v>58</v>
      </c>
      <c r="E201" s="40" t="s">
        <v>1285</v>
      </c>
      <c r="F201" s="45" t="s">
        <v>1286</v>
      </c>
      <c r="G201" s="40" t="s">
        <v>60</v>
      </c>
      <c r="H201" s="40" t="s">
        <v>153</v>
      </c>
      <c r="I201" s="40"/>
      <c r="J201" s="40" t="s">
        <v>128</v>
      </c>
      <c r="K201" s="40" t="s">
        <v>1287</v>
      </c>
      <c r="L201" s="40" t="s">
        <v>1288</v>
      </c>
      <c r="M201" s="40">
        <v>0.6</v>
      </c>
      <c r="N201" s="46" t="s">
        <v>730</v>
      </c>
      <c r="O201" s="46" t="s">
        <v>731</v>
      </c>
      <c r="P201" s="37" t="s">
        <v>68</v>
      </c>
      <c r="Q201" s="5" t="e">
        <v>#N/A</v>
      </c>
    </row>
    <row r="202" s="5" customFormat="1" ht="40.5" hidden="1" spans="1:17">
      <c r="A202" s="40" t="s">
        <v>1289</v>
      </c>
      <c r="B202" s="48" t="s">
        <v>1290</v>
      </c>
      <c r="C202" s="40" t="str">
        <f>"661506406452500"</f>
        <v>661506406452500</v>
      </c>
      <c r="D202" s="40" t="s">
        <v>58</v>
      </c>
      <c r="E202" s="40" t="s">
        <v>1291</v>
      </c>
      <c r="F202" s="40" t="s">
        <v>963</v>
      </c>
      <c r="G202" s="40" t="s">
        <v>60</v>
      </c>
      <c r="H202" s="40" t="s">
        <v>153</v>
      </c>
      <c r="I202" s="112" t="s">
        <v>832</v>
      </c>
      <c r="J202" s="40" t="s">
        <v>128</v>
      </c>
      <c r="K202" s="40" t="s">
        <v>263</v>
      </c>
      <c r="L202" s="40" t="s">
        <v>264</v>
      </c>
      <c r="M202" s="40">
        <v>0.6</v>
      </c>
      <c r="N202" s="52" t="s">
        <v>66</v>
      </c>
      <c r="O202" s="52"/>
      <c r="P202" s="37" t="s">
        <v>66</v>
      </c>
      <c r="Q202" s="5" t="e">
        <v>#N/A</v>
      </c>
    </row>
    <row r="203" s="5" customFormat="1" ht="40.5" hidden="1" spans="1:17">
      <c r="A203" s="40" t="s">
        <v>1292</v>
      </c>
      <c r="B203" s="48" t="s">
        <v>1293</v>
      </c>
      <c r="C203" s="40" t="str">
        <f>"661506406444400"</f>
        <v>661506406444400</v>
      </c>
      <c r="D203" s="40" t="s">
        <v>58</v>
      </c>
      <c r="E203" s="40" t="s">
        <v>1294</v>
      </c>
      <c r="F203" s="45" t="s">
        <v>1295</v>
      </c>
      <c r="G203" s="40" t="s">
        <v>60</v>
      </c>
      <c r="H203" s="40" t="s">
        <v>1296</v>
      </c>
      <c r="I203" s="40"/>
      <c r="J203" s="40" t="s">
        <v>228</v>
      </c>
      <c r="K203" s="40" t="s">
        <v>1297</v>
      </c>
      <c r="L203" s="40" t="s">
        <v>1298</v>
      </c>
      <c r="M203" s="40">
        <v>0.6</v>
      </c>
      <c r="N203" s="46" t="s">
        <v>730</v>
      </c>
      <c r="O203" s="46" t="s">
        <v>731</v>
      </c>
      <c r="P203" s="37" t="s">
        <v>68</v>
      </c>
      <c r="Q203" s="5" t="e">
        <v>#N/A</v>
      </c>
    </row>
    <row r="204" s="5" customFormat="1" ht="40.5" hidden="1" spans="1:17">
      <c r="A204" s="40" t="s">
        <v>1299</v>
      </c>
      <c r="B204" s="48" t="s">
        <v>1300</v>
      </c>
      <c r="C204" s="40" t="str">
        <f>"661506406430600"</f>
        <v>661506406430600</v>
      </c>
      <c r="D204" s="40" t="s">
        <v>58</v>
      </c>
      <c r="E204" s="40" t="s">
        <v>1301</v>
      </c>
      <c r="F204" s="40"/>
      <c r="G204" s="40" t="s">
        <v>143</v>
      </c>
      <c r="H204" s="40" t="s">
        <v>957</v>
      </c>
      <c r="I204" s="112" t="s">
        <v>198</v>
      </c>
      <c r="J204" s="40" t="s">
        <v>205</v>
      </c>
      <c r="K204" s="40" t="s">
        <v>214</v>
      </c>
      <c r="L204" s="40" t="s">
        <v>215</v>
      </c>
      <c r="M204" s="40">
        <v>0.6</v>
      </c>
      <c r="N204" s="52" t="s">
        <v>66</v>
      </c>
      <c r="O204" s="52"/>
      <c r="P204" s="37" t="s">
        <v>66</v>
      </c>
      <c r="Q204" s="5" t="e">
        <v>#N/A</v>
      </c>
    </row>
    <row r="205" s="5" customFormat="1" ht="40.5" hidden="1" spans="1:17">
      <c r="A205" s="40" t="s">
        <v>1302</v>
      </c>
      <c r="B205" s="48" t="s">
        <v>1303</v>
      </c>
      <c r="C205" s="40" t="str">
        <f>"661506406428700"</f>
        <v>661506406428700</v>
      </c>
      <c r="D205" s="40" t="s">
        <v>58</v>
      </c>
      <c r="E205" s="40" t="s">
        <v>1304</v>
      </c>
      <c r="F205" s="45"/>
      <c r="G205" s="40" t="s">
        <v>60</v>
      </c>
      <c r="H205" s="40" t="s">
        <v>1305</v>
      </c>
      <c r="I205" s="40"/>
      <c r="J205" s="40" t="s">
        <v>128</v>
      </c>
      <c r="K205" s="40" t="s">
        <v>263</v>
      </c>
      <c r="L205" s="40" t="s">
        <v>264</v>
      </c>
      <c r="M205" s="40">
        <v>0.6</v>
      </c>
      <c r="N205" s="52" t="s">
        <v>66</v>
      </c>
      <c r="O205" s="52"/>
      <c r="P205" s="37" t="s">
        <v>66</v>
      </c>
      <c r="Q205" s="5" t="e">
        <v>#N/A</v>
      </c>
    </row>
    <row r="206" s="5" customFormat="1" ht="40.5" hidden="1" spans="1:17">
      <c r="A206" s="40" t="s">
        <v>1306</v>
      </c>
      <c r="B206" s="48" t="s">
        <v>1307</v>
      </c>
      <c r="C206" s="40" t="str">
        <f>"661506406384700"</f>
        <v>661506406384700</v>
      </c>
      <c r="D206" s="40" t="s">
        <v>58</v>
      </c>
      <c r="E206" s="40" t="s">
        <v>1115</v>
      </c>
      <c r="F206" s="45"/>
      <c r="G206" s="40" t="s">
        <v>60</v>
      </c>
      <c r="H206" s="40" t="s">
        <v>153</v>
      </c>
      <c r="I206" s="40"/>
      <c r="J206" s="40" t="s">
        <v>805</v>
      </c>
      <c r="K206" s="40" t="s">
        <v>1308</v>
      </c>
      <c r="L206" s="40" t="s">
        <v>1309</v>
      </c>
      <c r="M206" s="40">
        <v>0.6</v>
      </c>
      <c r="N206" s="58" t="s">
        <v>163</v>
      </c>
      <c r="O206" s="60" t="s">
        <v>1310</v>
      </c>
      <c r="P206" s="37" t="s">
        <v>68</v>
      </c>
      <c r="Q206" s="5" t="e">
        <v>#N/A</v>
      </c>
    </row>
    <row r="207" s="5" customFormat="1" ht="40.5" hidden="1" spans="1:17">
      <c r="A207" s="40" t="s">
        <v>1311</v>
      </c>
      <c r="B207" s="48" t="s">
        <v>1312</v>
      </c>
      <c r="C207" s="40" t="str">
        <f>"661506406376900"</f>
        <v>661506406376900</v>
      </c>
      <c r="D207" s="40" t="s">
        <v>292</v>
      </c>
      <c r="E207" s="40" t="s">
        <v>1313</v>
      </c>
      <c r="F207" s="45" t="s">
        <v>1314</v>
      </c>
      <c r="G207" s="40" t="s">
        <v>60</v>
      </c>
      <c r="H207" s="40" t="s">
        <v>1315</v>
      </c>
      <c r="I207" s="40" t="s">
        <v>1059</v>
      </c>
      <c r="J207" s="40" t="s">
        <v>1316</v>
      </c>
      <c r="K207" s="40" t="s">
        <v>1317</v>
      </c>
      <c r="L207" s="40" t="s">
        <v>1318</v>
      </c>
      <c r="M207" s="40">
        <v>0.6</v>
      </c>
      <c r="N207" s="46" t="s">
        <v>730</v>
      </c>
      <c r="O207" s="46" t="s">
        <v>731</v>
      </c>
      <c r="P207" s="37" t="s">
        <v>68</v>
      </c>
      <c r="Q207" s="5" t="e">
        <v>#N/A</v>
      </c>
    </row>
    <row r="208" s="5" customFormat="1" ht="40.5" hidden="1" spans="1:17">
      <c r="A208" s="40" t="s">
        <v>1319</v>
      </c>
      <c r="B208" s="48" t="s">
        <v>1320</v>
      </c>
      <c r="C208" s="40" t="str">
        <f>"661506406376500"</f>
        <v>661506406376500</v>
      </c>
      <c r="D208" s="40" t="s">
        <v>58</v>
      </c>
      <c r="E208" s="40" t="s">
        <v>1321</v>
      </c>
      <c r="F208" s="45" t="s">
        <v>1322</v>
      </c>
      <c r="G208" s="40" t="s">
        <v>60</v>
      </c>
      <c r="H208" s="40" t="s">
        <v>820</v>
      </c>
      <c r="I208" s="40" t="s">
        <v>1323</v>
      </c>
      <c r="J208" s="40" t="s">
        <v>1102</v>
      </c>
      <c r="K208" s="40" t="s">
        <v>1324</v>
      </c>
      <c r="L208" s="40" t="s">
        <v>1325</v>
      </c>
      <c r="M208" s="40">
        <v>0.6</v>
      </c>
      <c r="N208" s="46" t="s">
        <v>730</v>
      </c>
      <c r="O208" s="46" t="s">
        <v>731</v>
      </c>
      <c r="P208" s="37" t="s">
        <v>68</v>
      </c>
      <c r="Q208" s="5" t="e">
        <v>#N/A</v>
      </c>
    </row>
    <row r="209" s="4" customFormat="1" ht="40.5" hidden="1" spans="1:15623">
      <c r="A209" s="40" t="s">
        <v>1326</v>
      </c>
      <c r="B209" s="48" t="s">
        <v>1327</v>
      </c>
      <c r="C209" s="40" t="str">
        <f>"661506406356500"</f>
        <v>661506406356500</v>
      </c>
      <c r="D209" s="20" t="s">
        <v>58</v>
      </c>
      <c r="E209" s="20" t="s">
        <v>1328</v>
      </c>
      <c r="F209" s="20" t="s">
        <v>1329</v>
      </c>
      <c r="G209" s="20" t="s">
        <v>60</v>
      </c>
      <c r="H209" s="20" t="s">
        <v>153</v>
      </c>
      <c r="I209" s="20" t="s">
        <v>112</v>
      </c>
      <c r="J209" s="20" t="s">
        <v>146</v>
      </c>
      <c r="K209" s="20" t="s">
        <v>1330</v>
      </c>
      <c r="L209" s="20" t="s">
        <v>1331</v>
      </c>
      <c r="M209" s="20">
        <v>0.6</v>
      </c>
      <c r="N209" s="40" t="s">
        <v>66</v>
      </c>
      <c r="O209" s="40"/>
      <c r="P209" s="26" t="s">
        <v>66</v>
      </c>
      <c r="Q209" s="4" t="e">
        <v>#N/A</v>
      </c>
      <c r="WBU209" s="9"/>
      <c r="WBV209" s="9"/>
      <c r="WBW209" s="9"/>
    </row>
    <row r="210" s="4" customFormat="1" ht="40.5" hidden="1" spans="1:15623">
      <c r="A210" s="46" t="s">
        <v>1332</v>
      </c>
      <c r="B210" s="49" t="s">
        <v>1333</v>
      </c>
      <c r="C210" s="46" t="str">
        <f>"661506406352700"</f>
        <v>661506406352700</v>
      </c>
      <c r="D210" s="20" t="s">
        <v>58</v>
      </c>
      <c r="E210" s="20"/>
      <c r="F210" s="20"/>
      <c r="G210" s="20" t="s">
        <v>60</v>
      </c>
      <c r="H210" s="20" t="s">
        <v>126</v>
      </c>
      <c r="I210" s="20"/>
      <c r="J210" s="20" t="s">
        <v>80</v>
      </c>
      <c r="K210" s="20" t="s">
        <v>169</v>
      </c>
      <c r="L210" s="20" t="s">
        <v>170</v>
      </c>
      <c r="M210" s="20">
        <v>0.6</v>
      </c>
      <c r="N210" s="40" t="s">
        <v>730</v>
      </c>
      <c r="O210" s="40" t="s">
        <v>1334</v>
      </c>
      <c r="P210" s="26" t="s">
        <v>68</v>
      </c>
      <c r="Q210" s="4" t="e">
        <v>#N/A</v>
      </c>
      <c r="WBU210" s="9"/>
      <c r="WBV210" s="9"/>
      <c r="WBW210" s="9"/>
    </row>
    <row r="211" s="4" customFormat="1" ht="40.5" hidden="1" spans="1:15623">
      <c r="A211" s="40" t="s">
        <v>1335</v>
      </c>
      <c r="B211" s="48" t="s">
        <v>1336</v>
      </c>
      <c r="C211" s="40" t="str">
        <f>"661506406322500"</f>
        <v>661506406322500</v>
      </c>
      <c r="D211" s="20" t="s">
        <v>58</v>
      </c>
      <c r="E211" s="20" t="s">
        <v>1337</v>
      </c>
      <c r="F211" s="20" t="s">
        <v>1338</v>
      </c>
      <c r="G211" s="20" t="s">
        <v>60</v>
      </c>
      <c r="H211" s="20" t="s">
        <v>1339</v>
      </c>
      <c r="I211" s="20" t="s">
        <v>1340</v>
      </c>
      <c r="J211" s="20" t="s">
        <v>1341</v>
      </c>
      <c r="K211" s="20" t="s">
        <v>1342</v>
      </c>
      <c r="L211" s="20" t="s">
        <v>1343</v>
      </c>
      <c r="M211" s="20">
        <v>0.6</v>
      </c>
      <c r="N211" s="40" t="s">
        <v>66</v>
      </c>
      <c r="O211" s="40"/>
      <c r="P211" s="43" t="s">
        <v>68</v>
      </c>
      <c r="Q211" s="4" t="e">
        <v>#N/A</v>
      </c>
      <c r="WBU211" s="9"/>
      <c r="WBV211" s="9"/>
      <c r="WBW211" s="9"/>
    </row>
    <row r="212" s="4" customFormat="1" ht="40.5" hidden="1" spans="1:15623">
      <c r="A212" s="40" t="s">
        <v>1344</v>
      </c>
      <c r="B212" s="48" t="s">
        <v>1345</v>
      </c>
      <c r="C212" s="40" t="str">
        <f>"661506406322400"</f>
        <v>661506406322400</v>
      </c>
      <c r="D212" s="20" t="s">
        <v>58</v>
      </c>
      <c r="E212" s="20" t="s">
        <v>1346</v>
      </c>
      <c r="F212" s="20" t="s">
        <v>1347</v>
      </c>
      <c r="G212" s="20" t="s">
        <v>60</v>
      </c>
      <c r="H212" s="20" t="s">
        <v>167</v>
      </c>
      <c r="I212" s="20" t="s">
        <v>1348</v>
      </c>
      <c r="J212" s="20" t="s">
        <v>631</v>
      </c>
      <c r="K212" s="20" t="s">
        <v>1349</v>
      </c>
      <c r="L212" s="20" t="s">
        <v>1350</v>
      </c>
      <c r="M212" s="20">
        <v>0.6</v>
      </c>
      <c r="N212" s="40" t="s">
        <v>66</v>
      </c>
      <c r="O212" s="40"/>
      <c r="P212" s="26" t="s">
        <v>66</v>
      </c>
      <c r="Q212" s="4" t="e">
        <v>#N/A</v>
      </c>
      <c r="WBU212" s="9"/>
      <c r="WBV212" s="9"/>
      <c r="WBW212" s="9"/>
    </row>
    <row r="213" s="4" customFormat="1" ht="40.5" hidden="1" spans="1:15623">
      <c r="A213" s="40" t="s">
        <v>1351</v>
      </c>
      <c r="B213" s="48" t="s">
        <v>1352</v>
      </c>
      <c r="C213" s="40" t="str">
        <f>"661506406320600"</f>
        <v>661506406320600</v>
      </c>
      <c r="D213" s="20" t="s">
        <v>58</v>
      </c>
      <c r="E213" s="20" t="s">
        <v>1353</v>
      </c>
      <c r="F213" s="20" t="s">
        <v>1354</v>
      </c>
      <c r="G213" s="20" t="s">
        <v>143</v>
      </c>
      <c r="H213" s="20" t="s">
        <v>1355</v>
      </c>
      <c r="I213" s="20" t="s">
        <v>1356</v>
      </c>
      <c r="J213" s="20" t="s">
        <v>128</v>
      </c>
      <c r="K213" s="20" t="s">
        <v>263</v>
      </c>
      <c r="L213" s="20" t="s">
        <v>264</v>
      </c>
      <c r="M213" s="20">
        <v>0.6</v>
      </c>
      <c r="N213" s="40" t="s">
        <v>66</v>
      </c>
      <c r="O213" s="40"/>
      <c r="P213" s="26" t="s">
        <v>66</v>
      </c>
      <c r="Q213" s="4" t="e">
        <v>#N/A</v>
      </c>
      <c r="WBU213" s="9"/>
      <c r="WBV213" s="9"/>
      <c r="WBW213" s="9"/>
    </row>
    <row r="214" s="4" customFormat="1" ht="40.5" hidden="1" spans="1:15623">
      <c r="A214" s="40" t="s">
        <v>1357</v>
      </c>
      <c r="B214" s="48" t="s">
        <v>1358</v>
      </c>
      <c r="C214" s="40" t="str">
        <f>"661506406318500"</f>
        <v>661506406318500</v>
      </c>
      <c r="D214" s="20" t="s">
        <v>58</v>
      </c>
      <c r="E214" s="20" t="s">
        <v>1359</v>
      </c>
      <c r="F214" s="20" t="s">
        <v>1360</v>
      </c>
      <c r="G214" s="20" t="s">
        <v>60</v>
      </c>
      <c r="H214" s="20" t="s">
        <v>219</v>
      </c>
      <c r="I214" s="20" t="s">
        <v>1348</v>
      </c>
      <c r="J214" s="20" t="s">
        <v>221</v>
      </c>
      <c r="K214" s="20" t="s">
        <v>1361</v>
      </c>
      <c r="L214" s="20" t="s">
        <v>1362</v>
      </c>
      <c r="M214" s="20">
        <v>0.6</v>
      </c>
      <c r="N214" s="40" t="s">
        <v>66</v>
      </c>
      <c r="O214" s="40"/>
      <c r="P214" s="26" t="s">
        <v>66</v>
      </c>
      <c r="Q214" s="4" t="e">
        <v>#N/A</v>
      </c>
      <c r="WBU214" s="9"/>
      <c r="WBV214" s="9"/>
      <c r="WBW214" s="9"/>
    </row>
    <row r="215" s="8" customFormat="1" ht="40.5" hidden="1" spans="1:15623">
      <c r="A215" s="40" t="s">
        <v>1363</v>
      </c>
      <c r="B215" s="48" t="s">
        <v>1364</v>
      </c>
      <c r="C215" s="40" t="str">
        <f>"661506406310700"</f>
        <v>661506406310700</v>
      </c>
      <c r="D215" s="20" t="s">
        <v>58</v>
      </c>
      <c r="E215" s="62" t="s">
        <v>1365</v>
      </c>
      <c r="F215" s="62" t="s">
        <v>1366</v>
      </c>
      <c r="G215" s="20" t="s">
        <v>60</v>
      </c>
      <c r="H215" s="62" t="s">
        <v>717</v>
      </c>
      <c r="I215" s="62" t="s">
        <v>478</v>
      </c>
      <c r="J215" s="62" t="s">
        <v>1367</v>
      </c>
      <c r="K215" s="62" t="s">
        <v>1368</v>
      </c>
      <c r="L215" s="62" t="s">
        <v>1369</v>
      </c>
      <c r="M215" s="62">
        <v>0.6</v>
      </c>
      <c r="N215" s="46" t="s">
        <v>730</v>
      </c>
      <c r="O215" s="40" t="s">
        <v>1334</v>
      </c>
      <c r="P215" s="26" t="s">
        <v>68</v>
      </c>
      <c r="Q215" s="8" t="e">
        <v>#N/A</v>
      </c>
      <c r="WBU215" s="9"/>
      <c r="WBV215" s="9"/>
      <c r="WBW215" s="9"/>
    </row>
    <row r="216" s="4" customFormat="1" ht="40.5" hidden="1" spans="1:15623">
      <c r="A216" s="40" t="s">
        <v>1370</v>
      </c>
      <c r="B216" s="48" t="s">
        <v>1371</v>
      </c>
      <c r="C216" s="40" t="str">
        <f>"661506406310600"</f>
        <v>661506406310600</v>
      </c>
      <c r="D216" s="20" t="s">
        <v>58</v>
      </c>
      <c r="E216" s="20" t="s">
        <v>1372</v>
      </c>
      <c r="F216" s="20" t="s">
        <v>1373</v>
      </c>
      <c r="G216" s="20" t="s">
        <v>60</v>
      </c>
      <c r="H216" s="20" t="s">
        <v>153</v>
      </c>
      <c r="I216" s="20" t="s">
        <v>1374</v>
      </c>
      <c r="J216" s="20" t="s">
        <v>205</v>
      </c>
      <c r="K216" s="20" t="s">
        <v>1375</v>
      </c>
      <c r="L216" s="20" t="s">
        <v>1376</v>
      </c>
      <c r="M216" s="20">
        <v>0.6</v>
      </c>
      <c r="N216" s="40" t="s">
        <v>66</v>
      </c>
      <c r="O216" s="40"/>
      <c r="P216" s="26" t="s">
        <v>66</v>
      </c>
      <c r="Q216" s="4" t="e">
        <v>#N/A</v>
      </c>
      <c r="WBU216" s="9"/>
      <c r="WBV216" s="9"/>
      <c r="WBW216" s="9"/>
    </row>
    <row r="217" s="4" customFormat="1" ht="40.5" hidden="1" spans="1:15623">
      <c r="A217" s="40" t="s">
        <v>1377</v>
      </c>
      <c r="B217" s="48" t="s">
        <v>1378</v>
      </c>
      <c r="C217" s="40" t="str">
        <f>"661506406310500"</f>
        <v>661506406310500</v>
      </c>
      <c r="D217" s="20" t="s">
        <v>58</v>
      </c>
      <c r="E217" s="20" t="s">
        <v>1379</v>
      </c>
      <c r="F217" s="20" t="s">
        <v>1380</v>
      </c>
      <c r="G217" s="20" t="s">
        <v>143</v>
      </c>
      <c r="H217" s="20" t="s">
        <v>852</v>
      </c>
      <c r="I217" s="20" t="s">
        <v>1381</v>
      </c>
      <c r="J217" s="20" t="s">
        <v>80</v>
      </c>
      <c r="K217" s="20" t="s">
        <v>169</v>
      </c>
      <c r="L217" s="20" t="s">
        <v>170</v>
      </c>
      <c r="M217" s="20">
        <v>0.6</v>
      </c>
      <c r="N217" s="40" t="s">
        <v>66</v>
      </c>
      <c r="O217" s="40"/>
      <c r="P217" s="26" t="s">
        <v>66</v>
      </c>
      <c r="Q217" s="4" t="e">
        <v>#N/A</v>
      </c>
      <c r="WBU217" s="9"/>
      <c r="WBV217" s="9"/>
      <c r="WBW217" s="9"/>
    </row>
    <row r="218" s="4" customFormat="1" ht="40.5" hidden="1" spans="1:15623">
      <c r="A218" s="40" t="s">
        <v>1382</v>
      </c>
      <c r="B218" s="48" t="s">
        <v>1383</v>
      </c>
      <c r="C218" s="40" t="str">
        <f>"661506406282400"</f>
        <v>661506406282400</v>
      </c>
      <c r="D218" s="20" t="s">
        <v>58</v>
      </c>
      <c r="E218" s="20" t="s">
        <v>1384</v>
      </c>
      <c r="F218" s="20" t="s">
        <v>705</v>
      </c>
      <c r="G218" s="20" t="s">
        <v>143</v>
      </c>
      <c r="H218" s="20" t="s">
        <v>153</v>
      </c>
      <c r="I218" s="20" t="s">
        <v>1348</v>
      </c>
      <c r="J218" s="20" t="s">
        <v>128</v>
      </c>
      <c r="K218" s="20" t="s">
        <v>1385</v>
      </c>
      <c r="L218" s="20" t="s">
        <v>1386</v>
      </c>
      <c r="M218" s="20">
        <v>0.6</v>
      </c>
      <c r="N218" s="40" t="s">
        <v>66</v>
      </c>
      <c r="O218" s="40"/>
      <c r="P218" s="26" t="s">
        <v>66</v>
      </c>
      <c r="Q218" s="4" t="e">
        <v>#N/A</v>
      </c>
      <c r="WBU218" s="9"/>
      <c r="WBV218" s="9"/>
      <c r="WBW218" s="9"/>
    </row>
    <row r="219" s="4" customFormat="1" ht="40.5" hidden="1" spans="1:15623">
      <c r="A219" s="46" t="s">
        <v>1387</v>
      </c>
      <c r="B219" s="49" t="s">
        <v>1388</v>
      </c>
      <c r="C219" s="46" t="str">
        <f>"661506406270400"</f>
        <v>661506406270400</v>
      </c>
      <c r="D219" s="20" t="s">
        <v>58</v>
      </c>
      <c r="E219" s="20" t="s">
        <v>1389</v>
      </c>
      <c r="F219" s="20" t="s">
        <v>1390</v>
      </c>
      <c r="G219" s="20" t="s">
        <v>60</v>
      </c>
      <c r="H219" s="20" t="s">
        <v>852</v>
      </c>
      <c r="I219" s="20" t="s">
        <v>1391</v>
      </c>
      <c r="J219" s="20" t="s">
        <v>80</v>
      </c>
      <c r="K219" s="20" t="s">
        <v>169</v>
      </c>
      <c r="L219" s="20" t="s">
        <v>170</v>
      </c>
      <c r="M219" s="20">
        <v>0.6</v>
      </c>
      <c r="N219" s="40" t="s">
        <v>66</v>
      </c>
      <c r="O219" s="40"/>
      <c r="P219" s="26" t="s">
        <v>66</v>
      </c>
      <c r="Q219" s="4" t="e">
        <v>#N/A</v>
      </c>
      <c r="WBU219" s="9"/>
      <c r="WBV219" s="9"/>
      <c r="WBW219" s="9"/>
    </row>
    <row r="220" s="3" customFormat="1" ht="40.5" hidden="1" spans="1:15623">
      <c r="A220" s="40" t="s">
        <v>1392</v>
      </c>
      <c r="B220" s="48" t="s">
        <v>1393</v>
      </c>
      <c r="C220" s="40" t="str">
        <f>"661506406190400"</f>
        <v>661506406190400</v>
      </c>
      <c r="D220" s="18" t="s">
        <v>58</v>
      </c>
      <c r="E220" s="18" t="s">
        <v>1394</v>
      </c>
      <c r="F220" s="18"/>
      <c r="G220" s="18" t="s">
        <v>60</v>
      </c>
      <c r="H220" s="18" t="s">
        <v>153</v>
      </c>
      <c r="I220" s="18" t="s">
        <v>1348</v>
      </c>
      <c r="J220" s="18" t="s">
        <v>80</v>
      </c>
      <c r="K220" s="18" t="s">
        <v>169</v>
      </c>
      <c r="L220" s="18" t="s">
        <v>170</v>
      </c>
      <c r="M220" s="18">
        <v>0.6</v>
      </c>
      <c r="N220" s="46" t="s">
        <v>116</v>
      </c>
      <c r="O220" s="63" t="s">
        <v>1395</v>
      </c>
      <c r="P220" s="26" t="s">
        <v>68</v>
      </c>
      <c r="Q220" s="3" t="e">
        <v>#N/A</v>
      </c>
      <c r="WBU220" s="10"/>
      <c r="WBV220" s="10"/>
      <c r="WBW220" s="10"/>
    </row>
    <row r="221" s="4" customFormat="1" ht="40.5" hidden="1" spans="1:15623">
      <c r="A221" s="40" t="s">
        <v>1396</v>
      </c>
      <c r="B221" s="48" t="s">
        <v>1397</v>
      </c>
      <c r="C221" s="40" t="str">
        <f>"661506406184400"</f>
        <v>661506406184400</v>
      </c>
      <c r="D221" s="20" t="s">
        <v>58</v>
      </c>
      <c r="E221" s="20" t="s">
        <v>1398</v>
      </c>
      <c r="F221" s="20">
        <v>18947505857</v>
      </c>
      <c r="G221" s="20" t="s">
        <v>60</v>
      </c>
      <c r="H221" s="20" t="s">
        <v>600</v>
      </c>
      <c r="I221" s="20" t="s">
        <v>1399</v>
      </c>
      <c r="J221" s="20" t="s">
        <v>80</v>
      </c>
      <c r="K221" s="20" t="s">
        <v>169</v>
      </c>
      <c r="L221" s="20" t="s">
        <v>170</v>
      </c>
      <c r="M221" s="20">
        <v>0.6</v>
      </c>
      <c r="N221" s="40" t="s">
        <v>66</v>
      </c>
      <c r="O221" s="40"/>
      <c r="P221" s="26" t="s">
        <v>66</v>
      </c>
      <c r="Q221" s="4" t="e">
        <v>#N/A</v>
      </c>
      <c r="WBU221" s="9"/>
      <c r="WBV221" s="9"/>
      <c r="WBW221" s="9"/>
    </row>
    <row r="222" s="4" customFormat="1" ht="40.5" hidden="1" spans="1:15623">
      <c r="A222" s="40" t="s">
        <v>1400</v>
      </c>
      <c r="B222" s="48" t="s">
        <v>1401</v>
      </c>
      <c r="C222" s="40" t="str">
        <f>"661506406174400"</f>
        <v>661506406174400</v>
      </c>
      <c r="D222" s="20" t="s">
        <v>58</v>
      </c>
      <c r="E222" s="20" t="s">
        <v>1402</v>
      </c>
      <c r="F222" s="20"/>
      <c r="G222" s="20" t="s">
        <v>60</v>
      </c>
      <c r="H222" s="20" t="s">
        <v>1243</v>
      </c>
      <c r="I222" s="20" t="s">
        <v>1399</v>
      </c>
      <c r="J222" s="20" t="s">
        <v>128</v>
      </c>
      <c r="K222" s="20" t="s">
        <v>1189</v>
      </c>
      <c r="L222" s="20" t="s">
        <v>1403</v>
      </c>
      <c r="M222" s="20">
        <v>0.6</v>
      </c>
      <c r="N222" s="40" t="s">
        <v>66</v>
      </c>
      <c r="O222" s="40"/>
      <c r="P222" s="26" t="s">
        <v>66</v>
      </c>
      <c r="Q222" s="4" t="e">
        <v>#N/A</v>
      </c>
      <c r="WBU222" s="9"/>
      <c r="WBV222" s="9"/>
      <c r="WBW222" s="9"/>
    </row>
    <row r="223" s="4" customFormat="1" ht="40.5" hidden="1" spans="1:15623">
      <c r="A223" s="40" t="s">
        <v>1404</v>
      </c>
      <c r="B223" s="48" t="s">
        <v>1405</v>
      </c>
      <c r="C223" s="40" t="str">
        <f>"661506406166400"</f>
        <v>661506406166400</v>
      </c>
      <c r="D223" s="20" t="s">
        <v>495</v>
      </c>
      <c r="E223" s="20" t="s">
        <v>1406</v>
      </c>
      <c r="F223" s="20" t="s">
        <v>1407</v>
      </c>
      <c r="G223" s="20" t="s">
        <v>60</v>
      </c>
      <c r="H223" s="20" t="s">
        <v>451</v>
      </c>
      <c r="I223" s="20" t="s">
        <v>1166</v>
      </c>
      <c r="J223" s="20" t="s">
        <v>1408</v>
      </c>
      <c r="K223" s="20" t="s">
        <v>1409</v>
      </c>
      <c r="L223" s="20" t="s">
        <v>1410</v>
      </c>
      <c r="M223" s="20">
        <v>0.6</v>
      </c>
      <c r="N223" s="40" t="s">
        <v>66</v>
      </c>
      <c r="O223" s="40"/>
      <c r="P223" s="26" t="s">
        <v>66</v>
      </c>
      <c r="Q223" s="4" t="e">
        <v>#N/A</v>
      </c>
      <c r="WBU223" s="9"/>
      <c r="WBV223" s="9"/>
      <c r="WBW223" s="9"/>
    </row>
    <row r="224" s="4" customFormat="1" ht="40.5" hidden="1" spans="1:15623">
      <c r="A224" s="40" t="s">
        <v>1411</v>
      </c>
      <c r="B224" s="48" t="s">
        <v>1412</v>
      </c>
      <c r="C224" s="40" t="str">
        <f>"661506406160500"</f>
        <v>661506406160500</v>
      </c>
      <c r="D224" s="20" t="s">
        <v>58</v>
      </c>
      <c r="E224" s="20" t="s">
        <v>1413</v>
      </c>
      <c r="F224" s="20"/>
      <c r="G224" s="20" t="s">
        <v>60</v>
      </c>
      <c r="H224" s="20" t="s">
        <v>1243</v>
      </c>
      <c r="I224" s="20" t="s">
        <v>1399</v>
      </c>
      <c r="J224" s="20" t="s">
        <v>205</v>
      </c>
      <c r="K224" s="20" t="s">
        <v>1414</v>
      </c>
      <c r="L224" s="20" t="s">
        <v>1415</v>
      </c>
      <c r="M224" s="20">
        <v>0.6</v>
      </c>
      <c r="N224" s="40" t="s">
        <v>66</v>
      </c>
      <c r="O224" s="40"/>
      <c r="P224" s="26" t="s">
        <v>66</v>
      </c>
      <c r="Q224" s="4" t="e">
        <v>#N/A</v>
      </c>
      <c r="WBU224" s="9"/>
      <c r="WBV224" s="9"/>
      <c r="WBW224" s="9"/>
    </row>
    <row r="225" s="4" customFormat="1" ht="40.5" hidden="1" spans="1:15623">
      <c r="A225" s="40" t="s">
        <v>1416</v>
      </c>
      <c r="B225" s="48" t="s">
        <v>1417</v>
      </c>
      <c r="C225" s="40" t="str">
        <f>"661506406160400"</f>
        <v>661506406160400</v>
      </c>
      <c r="D225" s="20" t="s">
        <v>58</v>
      </c>
      <c r="E225" s="20" t="s">
        <v>1418</v>
      </c>
      <c r="F225" s="20" t="s">
        <v>1419</v>
      </c>
      <c r="G225" s="20" t="s">
        <v>143</v>
      </c>
      <c r="H225" s="20" t="s">
        <v>1420</v>
      </c>
      <c r="I225" s="20" t="s">
        <v>1110</v>
      </c>
      <c r="J225" s="20" t="s">
        <v>1037</v>
      </c>
      <c r="K225" s="20" t="s">
        <v>1421</v>
      </c>
      <c r="L225" s="20" t="s">
        <v>1422</v>
      </c>
      <c r="M225" s="20">
        <v>0.6</v>
      </c>
      <c r="N225" s="40" t="s">
        <v>66</v>
      </c>
      <c r="O225" s="40"/>
      <c r="P225" s="26" t="s">
        <v>66</v>
      </c>
      <c r="Q225" s="4" t="e">
        <v>#N/A</v>
      </c>
      <c r="WBU225" s="9"/>
      <c r="WBV225" s="9"/>
      <c r="WBW225" s="9"/>
    </row>
    <row r="226" s="4" customFormat="1" ht="40.5" hidden="1" spans="1:15623">
      <c r="A226" s="40" t="s">
        <v>1423</v>
      </c>
      <c r="B226" s="48" t="s">
        <v>1424</v>
      </c>
      <c r="C226" s="40" t="str">
        <f>"661506406142500"</f>
        <v>661506406142500</v>
      </c>
      <c r="D226" s="20" t="s">
        <v>58</v>
      </c>
      <c r="E226" s="20" t="s">
        <v>1425</v>
      </c>
      <c r="F226" s="20" t="s">
        <v>1426</v>
      </c>
      <c r="G226" s="20" t="s">
        <v>60</v>
      </c>
      <c r="H226" s="20" t="s">
        <v>153</v>
      </c>
      <c r="I226" s="20" t="s">
        <v>397</v>
      </c>
      <c r="J226" s="20" t="s">
        <v>1037</v>
      </c>
      <c r="K226" s="20" t="s">
        <v>1427</v>
      </c>
      <c r="L226" s="20" t="s">
        <v>1428</v>
      </c>
      <c r="M226" s="20">
        <v>0.6</v>
      </c>
      <c r="N226" s="40" t="s">
        <v>66</v>
      </c>
      <c r="O226" s="40"/>
      <c r="P226" s="43" t="s">
        <v>66</v>
      </c>
      <c r="Q226" s="4" t="e">
        <v>#N/A</v>
      </c>
      <c r="WBU226" s="9"/>
      <c r="WBV226" s="9"/>
      <c r="WBW226" s="9"/>
    </row>
    <row r="227" s="4" customFormat="1" ht="40.5" hidden="1" spans="1:15623">
      <c r="A227" s="40" t="s">
        <v>1429</v>
      </c>
      <c r="B227" s="48" t="s">
        <v>1430</v>
      </c>
      <c r="C227" s="40" t="str">
        <f>"661506406134400"</f>
        <v>661506406134400</v>
      </c>
      <c r="D227" s="20" t="s">
        <v>292</v>
      </c>
      <c r="E227" s="20" t="s">
        <v>1431</v>
      </c>
      <c r="F227" s="20" t="s">
        <v>1432</v>
      </c>
      <c r="G227" s="20" t="s">
        <v>60</v>
      </c>
      <c r="H227" s="20" t="s">
        <v>1433</v>
      </c>
      <c r="I227" s="20" t="s">
        <v>1348</v>
      </c>
      <c r="J227" s="20" t="s">
        <v>1205</v>
      </c>
      <c r="K227" s="20" t="s">
        <v>1434</v>
      </c>
      <c r="L227" s="20" t="s">
        <v>1435</v>
      </c>
      <c r="M227" s="20">
        <v>0.6</v>
      </c>
      <c r="N227" s="40" t="s">
        <v>66</v>
      </c>
      <c r="O227" s="40"/>
      <c r="P227" s="26" t="s">
        <v>66</v>
      </c>
      <c r="Q227" s="4" t="e">
        <v>#N/A</v>
      </c>
      <c r="WBU227" s="9"/>
      <c r="WBV227" s="9"/>
      <c r="WBW227" s="9"/>
    </row>
    <row r="228" s="4" customFormat="1" ht="40.5" hidden="1" spans="1:15623">
      <c r="A228" s="40" t="s">
        <v>1436</v>
      </c>
      <c r="B228" s="48" t="s">
        <v>1437</v>
      </c>
      <c r="C228" s="40" t="str">
        <f>"661506406132500"</f>
        <v>661506406132500</v>
      </c>
      <c r="D228" s="20" t="s">
        <v>58</v>
      </c>
      <c r="E228" s="20" t="s">
        <v>1438</v>
      </c>
      <c r="F228" s="20" t="s">
        <v>1439</v>
      </c>
      <c r="G228" s="20" t="s">
        <v>143</v>
      </c>
      <c r="H228" s="20" t="s">
        <v>583</v>
      </c>
      <c r="I228" s="20" t="s">
        <v>1440</v>
      </c>
      <c r="J228" s="20" t="s">
        <v>228</v>
      </c>
      <c r="K228" s="20" t="s">
        <v>1441</v>
      </c>
      <c r="L228" s="20" t="s">
        <v>1442</v>
      </c>
      <c r="M228" s="20">
        <v>0.6</v>
      </c>
      <c r="N228" s="40" t="s">
        <v>66</v>
      </c>
      <c r="O228" s="40"/>
      <c r="P228" s="26" t="s">
        <v>66</v>
      </c>
      <c r="Q228" s="4" t="e">
        <v>#N/A</v>
      </c>
      <c r="WBU228" s="9"/>
      <c r="WBV228" s="9"/>
      <c r="WBW228" s="9"/>
    </row>
    <row r="229" s="4" customFormat="1" ht="40.5" hidden="1" spans="1:15623">
      <c r="A229" s="40" t="s">
        <v>1443</v>
      </c>
      <c r="B229" s="48" t="s">
        <v>1444</v>
      </c>
      <c r="C229" s="40" t="str">
        <f>"661506406130700"</f>
        <v>661506406130700</v>
      </c>
      <c r="D229" s="20" t="s">
        <v>58</v>
      </c>
      <c r="E229" s="20" t="s">
        <v>1445</v>
      </c>
      <c r="F229" s="20"/>
      <c r="G229" s="20" t="s">
        <v>60</v>
      </c>
      <c r="H229" s="20" t="s">
        <v>256</v>
      </c>
      <c r="I229" s="20" t="s">
        <v>397</v>
      </c>
      <c r="J229" s="20" t="s">
        <v>1037</v>
      </c>
      <c r="K229" s="20" t="s">
        <v>1446</v>
      </c>
      <c r="L229" s="20" t="s">
        <v>1447</v>
      </c>
      <c r="M229" s="20">
        <v>0.6</v>
      </c>
      <c r="N229" s="40" t="s">
        <v>66</v>
      </c>
      <c r="O229" s="40"/>
      <c r="P229" s="26" t="s">
        <v>66</v>
      </c>
      <c r="Q229" s="4" t="e">
        <v>#N/A</v>
      </c>
      <c r="WBU229" s="9"/>
      <c r="WBV229" s="9"/>
      <c r="WBW229" s="9"/>
    </row>
    <row r="230" s="4" customFormat="1" ht="54" hidden="1" spans="1:15623">
      <c r="A230" s="40" t="s">
        <v>1448</v>
      </c>
      <c r="B230" s="48" t="s">
        <v>1449</v>
      </c>
      <c r="C230" s="40" t="str">
        <f>"661506406072800"</f>
        <v>661506406072800</v>
      </c>
      <c r="D230" s="20" t="s">
        <v>455</v>
      </c>
      <c r="E230" s="20" t="s">
        <v>1450</v>
      </c>
      <c r="F230" s="20"/>
      <c r="G230" s="20" t="s">
        <v>60</v>
      </c>
      <c r="H230" s="20" t="s">
        <v>1451</v>
      </c>
      <c r="I230" s="20" t="s">
        <v>1348</v>
      </c>
      <c r="J230" s="20" t="s">
        <v>80</v>
      </c>
      <c r="K230" s="20" t="s">
        <v>1452</v>
      </c>
      <c r="L230" s="20" t="s">
        <v>1453</v>
      </c>
      <c r="M230" s="20">
        <v>0.6</v>
      </c>
      <c r="N230" s="46" t="s">
        <v>730</v>
      </c>
      <c r="O230" s="40" t="s">
        <v>1454</v>
      </c>
      <c r="P230" s="26" t="s">
        <v>68</v>
      </c>
      <c r="Q230" s="4" t="e">
        <v>#N/A</v>
      </c>
      <c r="WBU230" s="9"/>
      <c r="WBV230" s="9"/>
      <c r="WBW230" s="9"/>
    </row>
    <row r="231" s="4" customFormat="1" ht="40.5" hidden="1" spans="1:15623">
      <c r="A231" s="40" t="s">
        <v>1455</v>
      </c>
      <c r="B231" s="48" t="s">
        <v>1456</v>
      </c>
      <c r="C231" s="40" t="str">
        <f>"661506406058800"</f>
        <v>661506406058800</v>
      </c>
      <c r="D231" s="20" t="s">
        <v>362</v>
      </c>
      <c r="E231" s="20" t="s">
        <v>1457</v>
      </c>
      <c r="F231" s="20"/>
      <c r="G231" s="20" t="s">
        <v>60</v>
      </c>
      <c r="H231" s="20" t="s">
        <v>1458</v>
      </c>
      <c r="I231" s="20" t="s">
        <v>1348</v>
      </c>
      <c r="J231" s="20" t="s">
        <v>80</v>
      </c>
      <c r="K231" s="20" t="s">
        <v>169</v>
      </c>
      <c r="L231" s="20" t="s">
        <v>170</v>
      </c>
      <c r="M231" s="20">
        <v>0.6</v>
      </c>
      <c r="N231" s="40" t="s">
        <v>66</v>
      </c>
      <c r="O231" s="40"/>
      <c r="P231" s="26" t="s">
        <v>116</v>
      </c>
      <c r="Q231" s="4" t="e">
        <v>#N/A</v>
      </c>
      <c r="WBU231" s="9"/>
      <c r="WBV231" s="9"/>
      <c r="WBW231" s="9"/>
    </row>
    <row r="232" s="4" customFormat="1" ht="40.5" hidden="1" spans="1:15623">
      <c r="A232" s="40" t="s">
        <v>1459</v>
      </c>
      <c r="B232" s="48" t="s">
        <v>1460</v>
      </c>
      <c r="C232" s="40" t="str">
        <f>"661506406056500"</f>
        <v>661506406056500</v>
      </c>
      <c r="D232" s="20" t="s">
        <v>58</v>
      </c>
      <c r="E232" s="20" t="s">
        <v>1461</v>
      </c>
      <c r="F232" s="20"/>
      <c r="G232" s="20" t="s">
        <v>60</v>
      </c>
      <c r="H232" s="20" t="s">
        <v>1462</v>
      </c>
      <c r="I232" s="20" t="s">
        <v>487</v>
      </c>
      <c r="J232" s="20" t="s">
        <v>176</v>
      </c>
      <c r="K232" s="20" t="s">
        <v>1463</v>
      </c>
      <c r="L232" s="20" t="s">
        <v>1464</v>
      </c>
      <c r="M232" s="20">
        <v>0.6</v>
      </c>
      <c r="N232" s="40" t="s">
        <v>66</v>
      </c>
      <c r="O232" s="40"/>
      <c r="P232" s="26" t="s">
        <v>68</v>
      </c>
      <c r="Q232" s="4" t="e">
        <v>#N/A</v>
      </c>
      <c r="WBU232" s="9"/>
      <c r="WBV232" s="9"/>
      <c r="WBW232" s="9"/>
    </row>
    <row r="233" s="4" customFormat="1" ht="40.5" hidden="1" spans="1:15623">
      <c r="A233" s="40" t="s">
        <v>1465</v>
      </c>
      <c r="B233" s="48" t="s">
        <v>1466</v>
      </c>
      <c r="C233" s="40" t="str">
        <f>"661506406032400"</f>
        <v>661506406032400</v>
      </c>
      <c r="D233" s="20" t="s">
        <v>362</v>
      </c>
      <c r="E233" s="20" t="s">
        <v>1467</v>
      </c>
      <c r="F233" s="20"/>
      <c r="G233" s="20" t="s">
        <v>60</v>
      </c>
      <c r="H233" s="20" t="s">
        <v>284</v>
      </c>
      <c r="I233" s="20" t="s">
        <v>1468</v>
      </c>
      <c r="J233" s="20" t="s">
        <v>105</v>
      </c>
      <c r="K233" s="20" t="s">
        <v>1469</v>
      </c>
      <c r="L233" s="20" t="s">
        <v>1470</v>
      </c>
      <c r="M233" s="20">
        <v>0.6</v>
      </c>
      <c r="N233" s="40" t="s">
        <v>66</v>
      </c>
      <c r="O233" s="40"/>
      <c r="P233" s="26" t="s">
        <v>66</v>
      </c>
      <c r="Q233" s="4" t="e">
        <v>#N/A</v>
      </c>
      <c r="WBU233" s="9"/>
      <c r="WBV233" s="9"/>
      <c r="WBW233" s="9"/>
    </row>
    <row r="234" s="4" customFormat="1" ht="40.5" hidden="1" spans="1:15623">
      <c r="A234" s="40" t="s">
        <v>1471</v>
      </c>
      <c r="B234" s="48" t="s">
        <v>1472</v>
      </c>
      <c r="C234" s="40" t="str">
        <f>"661506406008600"</f>
        <v>661506406008600</v>
      </c>
      <c r="D234" s="20" t="s">
        <v>58</v>
      </c>
      <c r="E234" s="20" t="s">
        <v>1473</v>
      </c>
      <c r="F234" s="20" t="s">
        <v>420</v>
      </c>
      <c r="G234" s="20" t="s">
        <v>60</v>
      </c>
      <c r="H234" s="20" t="s">
        <v>153</v>
      </c>
      <c r="I234" s="20" t="s">
        <v>1474</v>
      </c>
      <c r="J234" s="20" t="s">
        <v>205</v>
      </c>
      <c r="K234" s="20" t="s">
        <v>1475</v>
      </c>
      <c r="L234" s="20" t="s">
        <v>1476</v>
      </c>
      <c r="M234" s="20">
        <v>0.6</v>
      </c>
      <c r="N234" s="40" t="s">
        <v>66</v>
      </c>
      <c r="O234" s="40"/>
      <c r="P234" s="26" t="s">
        <v>66</v>
      </c>
      <c r="Q234" s="4" t="e">
        <v>#N/A</v>
      </c>
      <c r="WBU234" s="9"/>
      <c r="WBV234" s="9"/>
      <c r="WBW234" s="9"/>
    </row>
    <row r="235" s="8" customFormat="1" ht="40.5" hidden="1" spans="1:15623">
      <c r="A235" s="20" t="s">
        <v>1477</v>
      </c>
      <c r="B235" s="21" t="s">
        <v>1478</v>
      </c>
      <c r="C235" s="20" t="str">
        <f>"661506406004400"</f>
        <v>661506406004400</v>
      </c>
      <c r="D235" s="20" t="s">
        <v>58</v>
      </c>
      <c r="E235" s="62" t="s">
        <v>1479</v>
      </c>
      <c r="F235" s="62" t="s">
        <v>1480</v>
      </c>
      <c r="G235" s="20" t="s">
        <v>143</v>
      </c>
      <c r="H235" s="62" t="s">
        <v>310</v>
      </c>
      <c r="I235" s="62" t="s">
        <v>1468</v>
      </c>
      <c r="J235" s="62" t="s">
        <v>1481</v>
      </c>
      <c r="K235" s="62" t="s">
        <v>1482</v>
      </c>
      <c r="L235" s="62" t="s">
        <v>1483</v>
      </c>
      <c r="M235" s="62">
        <v>0.6</v>
      </c>
      <c r="N235" s="40" t="s">
        <v>66</v>
      </c>
      <c r="O235" s="41"/>
      <c r="P235" s="26" t="s">
        <v>66</v>
      </c>
      <c r="Q235" s="8" t="e">
        <v>#N/A</v>
      </c>
      <c r="WBU235" s="9"/>
      <c r="WBV235" s="9"/>
      <c r="WBW235" s="9"/>
    </row>
    <row r="236" s="4" customFormat="1" ht="40.5" hidden="1" spans="1:15623">
      <c r="A236" s="20" t="s">
        <v>1484</v>
      </c>
      <c r="B236" s="21" t="s">
        <v>1485</v>
      </c>
      <c r="C236" s="20" t="str">
        <f>"661506405947100"</f>
        <v>661506405947100</v>
      </c>
      <c r="D236" s="20" t="s">
        <v>58</v>
      </c>
      <c r="E236" s="20" t="s">
        <v>1486</v>
      </c>
      <c r="F236" s="20" t="s">
        <v>1487</v>
      </c>
      <c r="G236" s="20" t="s">
        <v>60</v>
      </c>
      <c r="H236" s="20" t="s">
        <v>153</v>
      </c>
      <c r="I236" s="20" t="s">
        <v>1391</v>
      </c>
      <c r="J236" s="20" t="s">
        <v>105</v>
      </c>
      <c r="K236" s="20" t="s">
        <v>1488</v>
      </c>
      <c r="L236" s="20" t="s">
        <v>1489</v>
      </c>
      <c r="M236" s="20">
        <v>0.6</v>
      </c>
      <c r="N236" s="40" t="s">
        <v>66</v>
      </c>
      <c r="O236" s="40"/>
      <c r="P236" s="26" t="s">
        <v>66</v>
      </c>
      <c r="Q236" s="4" t="e">
        <v>#N/A</v>
      </c>
      <c r="WBU236" s="9"/>
      <c r="WBV236" s="9"/>
      <c r="WBW236" s="9"/>
    </row>
    <row r="237" s="4" customFormat="1" ht="40.5" hidden="1" spans="1:15623">
      <c r="A237" s="20" t="s">
        <v>1490</v>
      </c>
      <c r="B237" s="21" t="s">
        <v>1491</v>
      </c>
      <c r="C237" s="20" t="str">
        <f>"661506405933800"</f>
        <v>661506405933800</v>
      </c>
      <c r="D237" s="20" t="s">
        <v>58</v>
      </c>
      <c r="E237" s="20" t="s">
        <v>1492</v>
      </c>
      <c r="F237" s="20" t="s">
        <v>1493</v>
      </c>
      <c r="G237" s="20" t="s">
        <v>60</v>
      </c>
      <c r="H237" s="20" t="s">
        <v>1494</v>
      </c>
      <c r="I237" s="20" t="s">
        <v>1399</v>
      </c>
      <c r="J237" s="20" t="s">
        <v>105</v>
      </c>
      <c r="K237" s="20" t="s">
        <v>1071</v>
      </c>
      <c r="L237" s="20" t="s">
        <v>1072</v>
      </c>
      <c r="M237" s="20">
        <v>0.6</v>
      </c>
      <c r="N237" s="46" t="s">
        <v>730</v>
      </c>
      <c r="O237" s="40" t="s">
        <v>1454</v>
      </c>
      <c r="P237" s="26" t="s">
        <v>68</v>
      </c>
      <c r="Q237" s="4" t="e">
        <v>#N/A</v>
      </c>
      <c r="WBU237" s="9"/>
      <c r="WBV237" s="9"/>
      <c r="WBW237" s="9"/>
    </row>
    <row r="238" s="4" customFormat="1" ht="54" hidden="1" spans="1:15623">
      <c r="A238" s="20" t="s">
        <v>1495</v>
      </c>
      <c r="B238" s="21" t="s">
        <v>1496</v>
      </c>
      <c r="C238" s="20" t="str">
        <f>"661506405932800"</f>
        <v>661506405932800</v>
      </c>
      <c r="D238" s="20" t="s">
        <v>58</v>
      </c>
      <c r="E238" s="20" t="s">
        <v>1497</v>
      </c>
      <c r="F238" s="20" t="s">
        <v>1498</v>
      </c>
      <c r="G238" s="20" t="s">
        <v>60</v>
      </c>
      <c r="H238" s="20" t="s">
        <v>1499</v>
      </c>
      <c r="I238" s="20" t="s">
        <v>88</v>
      </c>
      <c r="J238" s="20" t="s">
        <v>176</v>
      </c>
      <c r="K238" s="20" t="s">
        <v>589</v>
      </c>
      <c r="L238" s="20" t="s">
        <v>590</v>
      </c>
      <c r="M238" s="20">
        <v>0.6</v>
      </c>
      <c r="N238" s="40" t="s">
        <v>66</v>
      </c>
      <c r="O238" s="40"/>
      <c r="P238" s="26" t="s">
        <v>66</v>
      </c>
      <c r="Q238" s="4" t="e">
        <v>#N/A</v>
      </c>
      <c r="WBU238" s="9"/>
      <c r="WBV238" s="9"/>
      <c r="WBW238" s="9"/>
    </row>
    <row r="239" s="4" customFormat="1" ht="40.5" hidden="1" spans="1:15623">
      <c r="A239" s="20" t="s">
        <v>1500</v>
      </c>
      <c r="B239" s="21" t="s">
        <v>1501</v>
      </c>
      <c r="C239" s="20" t="str">
        <f>"661506405932500"</f>
        <v>661506405932500</v>
      </c>
      <c r="D239" s="20" t="s">
        <v>58</v>
      </c>
      <c r="E239" s="20" t="s">
        <v>1502</v>
      </c>
      <c r="F239" s="20" t="s">
        <v>1503</v>
      </c>
      <c r="G239" s="20" t="s">
        <v>60</v>
      </c>
      <c r="H239" s="20" t="s">
        <v>153</v>
      </c>
      <c r="I239" s="20" t="s">
        <v>619</v>
      </c>
      <c r="J239" s="20" t="s">
        <v>1102</v>
      </c>
      <c r="K239" s="20" t="s">
        <v>1504</v>
      </c>
      <c r="L239" s="20" t="s">
        <v>1505</v>
      </c>
      <c r="M239" s="20">
        <v>0.6</v>
      </c>
      <c r="N239" s="40" t="s">
        <v>66</v>
      </c>
      <c r="O239" s="40"/>
      <c r="P239" s="26" t="s">
        <v>66</v>
      </c>
      <c r="Q239" s="4" t="e">
        <v>#N/A</v>
      </c>
      <c r="WBU239" s="9"/>
      <c r="WBV239" s="9"/>
      <c r="WBW239" s="9"/>
    </row>
    <row r="240" s="4" customFormat="1" ht="40.5" hidden="1" spans="1:15623">
      <c r="A240" s="20" t="s">
        <v>1506</v>
      </c>
      <c r="B240" s="21" t="s">
        <v>1507</v>
      </c>
      <c r="C240" s="20" t="str">
        <f>"661506405931400"</f>
        <v>661506405931400</v>
      </c>
      <c r="D240" s="20" t="s">
        <v>58</v>
      </c>
      <c r="E240" s="20" t="s">
        <v>1508</v>
      </c>
      <c r="F240" s="20" t="s">
        <v>1509</v>
      </c>
      <c r="G240" s="20" t="s">
        <v>60</v>
      </c>
      <c r="H240" s="20" t="s">
        <v>681</v>
      </c>
      <c r="I240" s="20" t="s">
        <v>1510</v>
      </c>
      <c r="J240" s="20" t="s">
        <v>1511</v>
      </c>
      <c r="K240" s="20" t="s">
        <v>1512</v>
      </c>
      <c r="L240" s="20" t="s">
        <v>1513</v>
      </c>
      <c r="M240" s="20">
        <v>0.6</v>
      </c>
      <c r="N240" s="46" t="s">
        <v>730</v>
      </c>
      <c r="O240" s="40" t="s">
        <v>1514</v>
      </c>
      <c r="P240" s="26" t="s">
        <v>68</v>
      </c>
      <c r="Q240" s="4" t="e">
        <v>#N/A</v>
      </c>
      <c r="WBU240" s="9"/>
      <c r="WBV240" s="9"/>
      <c r="WBW240" s="9"/>
    </row>
    <row r="241" s="4" customFormat="1" ht="40.5" hidden="1" spans="1:15623">
      <c r="A241" s="62" t="s">
        <v>1515</v>
      </c>
      <c r="B241" s="21" t="s">
        <v>1516</v>
      </c>
      <c r="C241" s="62" t="str">
        <f>"661506405810500"</f>
        <v>661506405810500</v>
      </c>
      <c r="D241" s="20" t="s">
        <v>58</v>
      </c>
      <c r="E241" s="20" t="s">
        <v>1517</v>
      </c>
      <c r="F241" s="20" t="s">
        <v>1518</v>
      </c>
      <c r="G241" s="20" t="s">
        <v>60</v>
      </c>
      <c r="H241" s="20" t="s">
        <v>1519</v>
      </c>
      <c r="I241" s="20" t="s">
        <v>154</v>
      </c>
      <c r="J241" s="20" t="s">
        <v>1274</v>
      </c>
      <c r="K241" s="20" t="s">
        <v>1520</v>
      </c>
      <c r="L241" s="20" t="s">
        <v>1521</v>
      </c>
      <c r="M241" s="20">
        <v>0.6</v>
      </c>
      <c r="N241" s="46" t="s">
        <v>730</v>
      </c>
      <c r="O241" s="40" t="s">
        <v>1334</v>
      </c>
      <c r="P241" s="26" t="s">
        <v>68</v>
      </c>
      <c r="Q241" s="4" t="e">
        <v>#N/A</v>
      </c>
      <c r="WBU241" s="9"/>
      <c r="WBV241" s="9"/>
      <c r="WBW241" s="9"/>
    </row>
    <row r="242" s="4" customFormat="1" ht="40.5" hidden="1" spans="1:15623">
      <c r="A242" s="20" t="s">
        <v>1522</v>
      </c>
      <c r="B242" s="21" t="s">
        <v>1523</v>
      </c>
      <c r="C242" s="20" t="str">
        <f>"661506405798900"</f>
        <v>661506405798900</v>
      </c>
      <c r="D242" s="20" t="s">
        <v>58</v>
      </c>
      <c r="E242" s="20" t="s">
        <v>1524</v>
      </c>
      <c r="F242" s="20" t="s">
        <v>1525</v>
      </c>
      <c r="G242" s="20" t="s">
        <v>60</v>
      </c>
      <c r="H242" s="20" t="s">
        <v>498</v>
      </c>
      <c r="I242" s="20" t="s">
        <v>1348</v>
      </c>
      <c r="J242" s="20" t="s">
        <v>128</v>
      </c>
      <c r="K242" s="20" t="s">
        <v>263</v>
      </c>
      <c r="L242" s="20" t="s">
        <v>264</v>
      </c>
      <c r="M242" s="20">
        <v>0.6</v>
      </c>
      <c r="N242" s="40" t="s">
        <v>66</v>
      </c>
      <c r="O242" s="40" t="s">
        <v>1526</v>
      </c>
      <c r="P242" s="26" t="s">
        <v>66</v>
      </c>
      <c r="Q242" s="4" t="e">
        <v>#N/A</v>
      </c>
      <c r="WBU242" s="9"/>
      <c r="WBV242" s="9"/>
      <c r="WBW242" s="9"/>
    </row>
    <row r="243" s="4" customFormat="1" ht="40.5" hidden="1" spans="1:15623">
      <c r="A243" s="20" t="s">
        <v>1527</v>
      </c>
      <c r="B243" s="21" t="s">
        <v>1528</v>
      </c>
      <c r="C243" s="20" t="str">
        <f>"661506405784500"</f>
        <v>661506405784500</v>
      </c>
      <c r="D243" s="20" t="s">
        <v>58</v>
      </c>
      <c r="E243" s="20" t="s">
        <v>1529</v>
      </c>
      <c r="F243" s="20" t="s">
        <v>1530</v>
      </c>
      <c r="G243" s="20" t="s">
        <v>60</v>
      </c>
      <c r="H243" s="20" t="s">
        <v>1531</v>
      </c>
      <c r="I243" s="20" t="s">
        <v>1532</v>
      </c>
      <c r="J243" s="20" t="s">
        <v>1341</v>
      </c>
      <c r="K243" s="20" t="s">
        <v>1533</v>
      </c>
      <c r="L243" s="20" t="s">
        <v>1534</v>
      </c>
      <c r="M243" s="20">
        <v>0.6</v>
      </c>
      <c r="N243" s="40" t="s">
        <v>66</v>
      </c>
      <c r="O243" s="40"/>
      <c r="P243" s="26" t="s">
        <v>66</v>
      </c>
      <c r="Q243" s="4" t="e">
        <v>#N/A</v>
      </c>
      <c r="WBU243" s="9"/>
      <c r="WBV243" s="9"/>
      <c r="WBW243" s="9"/>
    </row>
    <row r="244" s="4" customFormat="1" ht="40.5" hidden="1" spans="1:15623">
      <c r="A244" s="20" t="s">
        <v>1535</v>
      </c>
      <c r="B244" s="21" t="s">
        <v>1536</v>
      </c>
      <c r="C244" s="20" t="str">
        <f>"661506405782900"</f>
        <v>661506405782900</v>
      </c>
      <c r="D244" s="20" t="s">
        <v>58</v>
      </c>
      <c r="E244" s="20"/>
      <c r="F244" s="20" t="s">
        <v>1537</v>
      </c>
      <c r="G244" s="20" t="s">
        <v>60</v>
      </c>
      <c r="H244" s="20" t="s">
        <v>167</v>
      </c>
      <c r="I244" s="20" t="s">
        <v>1538</v>
      </c>
      <c r="J244" s="20" t="s">
        <v>205</v>
      </c>
      <c r="K244" s="20" t="s">
        <v>1539</v>
      </c>
      <c r="L244" s="20" t="s">
        <v>1540</v>
      </c>
      <c r="M244" s="20">
        <v>0.6</v>
      </c>
      <c r="N244" s="40" t="s">
        <v>66</v>
      </c>
      <c r="O244" s="40"/>
      <c r="P244" s="26" t="s">
        <v>68</v>
      </c>
      <c r="Q244" s="4" t="e">
        <v>#N/A</v>
      </c>
      <c r="WBU244" s="9"/>
      <c r="WBV244" s="9"/>
      <c r="WBW244" s="9"/>
    </row>
    <row r="245" s="4" customFormat="1" ht="40.5" hidden="1" spans="1:15623">
      <c r="A245" s="20" t="s">
        <v>1541</v>
      </c>
      <c r="B245" s="21" t="s">
        <v>1542</v>
      </c>
      <c r="C245" s="20" t="str">
        <f>"661506405764400"</f>
        <v>661506405764400</v>
      </c>
      <c r="D245" s="20" t="s">
        <v>58</v>
      </c>
      <c r="E245" s="20" t="s">
        <v>1543</v>
      </c>
      <c r="F245" s="20" t="s">
        <v>1544</v>
      </c>
      <c r="G245" s="20" t="s">
        <v>60</v>
      </c>
      <c r="H245" s="20" t="s">
        <v>219</v>
      </c>
      <c r="I245" s="20"/>
      <c r="J245" s="20" t="s">
        <v>191</v>
      </c>
      <c r="K245" s="20" t="s">
        <v>1545</v>
      </c>
      <c r="L245" s="20" t="s">
        <v>1546</v>
      </c>
      <c r="M245" s="20">
        <v>0.6</v>
      </c>
      <c r="N245" s="40" t="s">
        <v>66</v>
      </c>
      <c r="O245" s="40"/>
      <c r="P245" s="26" t="s">
        <v>66</v>
      </c>
      <c r="Q245" s="4" t="e">
        <v>#N/A</v>
      </c>
      <c r="WBU245" s="9"/>
      <c r="WBV245" s="9"/>
      <c r="WBW245" s="9"/>
    </row>
    <row r="246" s="4" customFormat="1" ht="40.5" hidden="1" spans="1:15623">
      <c r="A246" s="18" t="s">
        <v>1547</v>
      </c>
      <c r="B246" s="19" t="s">
        <v>1548</v>
      </c>
      <c r="C246" s="18" t="str">
        <f>"661506405756400"</f>
        <v>661506405756400</v>
      </c>
      <c r="D246" s="20" t="s">
        <v>58</v>
      </c>
      <c r="E246" s="20" t="s">
        <v>1549</v>
      </c>
      <c r="F246" s="20"/>
      <c r="G246" s="20" t="s">
        <v>143</v>
      </c>
      <c r="H246" s="20" t="s">
        <v>1550</v>
      </c>
      <c r="I246" s="20" t="s">
        <v>1391</v>
      </c>
      <c r="J246" s="20" t="s">
        <v>205</v>
      </c>
      <c r="K246" s="20" t="s">
        <v>1551</v>
      </c>
      <c r="L246" s="20" t="s">
        <v>1552</v>
      </c>
      <c r="M246" s="20">
        <v>0.6</v>
      </c>
      <c r="N246" s="40" t="s">
        <v>66</v>
      </c>
      <c r="O246" s="40"/>
      <c r="P246" s="26" t="s">
        <v>66</v>
      </c>
      <c r="Q246" s="4" t="e">
        <v>#N/A</v>
      </c>
      <c r="WBU246" s="9"/>
      <c r="WBV246" s="9"/>
      <c r="WBW246" s="9"/>
    </row>
    <row r="247" s="4" customFormat="1" ht="54" spans="1:15623">
      <c r="A247" s="18" t="s">
        <v>1553</v>
      </c>
      <c r="B247" s="19" t="s">
        <v>1554</v>
      </c>
      <c r="C247" s="18" t="str">
        <f>"661506405748500"</f>
        <v>661506405748500</v>
      </c>
      <c r="D247" s="20" t="s">
        <v>58</v>
      </c>
      <c r="E247" s="20" t="s">
        <v>1555</v>
      </c>
      <c r="F247" s="20" t="s">
        <v>1556</v>
      </c>
      <c r="G247" s="20" t="s">
        <v>60</v>
      </c>
      <c r="H247" s="20" t="s">
        <v>1557</v>
      </c>
      <c r="I247" s="20" t="s">
        <v>1356</v>
      </c>
      <c r="J247" s="20" t="s">
        <v>80</v>
      </c>
      <c r="K247" s="20" t="s">
        <v>169</v>
      </c>
      <c r="L247" s="20" t="s">
        <v>170</v>
      </c>
      <c r="M247" s="20">
        <v>0.6</v>
      </c>
      <c r="N247" s="40"/>
      <c r="O247" s="40" t="s">
        <v>1334</v>
      </c>
      <c r="P247" s="26" t="s">
        <v>68</v>
      </c>
      <c r="Q247" s="4" t="e">
        <v>#N/A</v>
      </c>
      <c r="WBU247" s="9"/>
      <c r="WBV247" s="9"/>
      <c r="WBW247" s="9"/>
    </row>
    <row r="248" s="4" customFormat="1" ht="40.5" spans="1:15623">
      <c r="A248" s="18" t="s">
        <v>1558</v>
      </c>
      <c r="B248" s="19" t="s">
        <v>1559</v>
      </c>
      <c r="C248" s="18" t="str">
        <f>"661506405662600"</f>
        <v>661506405662600</v>
      </c>
      <c r="D248" s="20" t="s">
        <v>58</v>
      </c>
      <c r="E248" s="20" t="s">
        <v>1560</v>
      </c>
      <c r="F248" s="20"/>
      <c r="G248" s="20" t="s">
        <v>60</v>
      </c>
      <c r="H248" s="20" t="s">
        <v>717</v>
      </c>
      <c r="I248" s="20" t="s">
        <v>1399</v>
      </c>
      <c r="J248" s="20" t="s">
        <v>1481</v>
      </c>
      <c r="K248" s="20" t="s">
        <v>1561</v>
      </c>
      <c r="L248" s="20" t="s">
        <v>1562</v>
      </c>
      <c r="M248" s="20">
        <v>0.6</v>
      </c>
      <c r="N248" s="40" t="s">
        <v>66</v>
      </c>
      <c r="O248" s="40"/>
      <c r="P248" s="26" t="s">
        <v>68</v>
      </c>
      <c r="Q248" s="4" t="e">
        <v>#N/A</v>
      </c>
      <c r="WBU248" s="9"/>
      <c r="WBV248" s="9"/>
      <c r="WBW248" s="9"/>
    </row>
    <row r="249" s="4" customFormat="1" ht="40.5" hidden="1" spans="1:15623">
      <c r="A249" s="20" t="s">
        <v>1563</v>
      </c>
      <c r="B249" s="21" t="s">
        <v>1564</v>
      </c>
      <c r="C249" s="20" t="str">
        <f>"661506405654400"</f>
        <v>661506405654400</v>
      </c>
      <c r="D249" s="20" t="s">
        <v>58</v>
      </c>
      <c r="E249" s="20" t="s">
        <v>1565</v>
      </c>
      <c r="F249" s="20" t="s">
        <v>1566</v>
      </c>
      <c r="G249" s="20" t="s">
        <v>60</v>
      </c>
      <c r="H249" s="20" t="s">
        <v>1180</v>
      </c>
      <c r="I249" s="20" t="s">
        <v>1399</v>
      </c>
      <c r="J249" s="20" t="s">
        <v>80</v>
      </c>
      <c r="K249" s="20" t="s">
        <v>169</v>
      </c>
      <c r="L249" s="20" t="s">
        <v>170</v>
      </c>
      <c r="M249" s="20">
        <v>0.6</v>
      </c>
      <c r="N249" s="40" t="s">
        <v>66</v>
      </c>
      <c r="O249" s="40"/>
      <c r="P249" s="26" t="s">
        <v>116</v>
      </c>
      <c r="Q249" s="4" t="e">
        <v>#N/A</v>
      </c>
      <c r="WBU249" s="9"/>
      <c r="WBV249" s="9"/>
      <c r="WBW249" s="9"/>
    </row>
    <row r="250" s="4" customFormat="1" ht="40.5" hidden="1" spans="1:15623">
      <c r="A250" s="20" t="s">
        <v>1567</v>
      </c>
      <c r="B250" s="21" t="s">
        <v>1568</v>
      </c>
      <c r="C250" s="20" t="str">
        <f>"661506405650600"</f>
        <v>661506405650600</v>
      </c>
      <c r="D250" s="20" t="s">
        <v>58</v>
      </c>
      <c r="E250" s="20" t="s">
        <v>1569</v>
      </c>
      <c r="F250" s="20"/>
      <c r="G250" s="20" t="s">
        <v>143</v>
      </c>
      <c r="H250" s="20" t="s">
        <v>1051</v>
      </c>
      <c r="I250" s="20" t="s">
        <v>1474</v>
      </c>
      <c r="J250" s="20" t="s">
        <v>80</v>
      </c>
      <c r="K250" s="20" t="s">
        <v>169</v>
      </c>
      <c r="L250" s="20" t="s">
        <v>170</v>
      </c>
      <c r="M250" s="20">
        <v>0.6</v>
      </c>
      <c r="N250" s="40" t="s">
        <v>66</v>
      </c>
      <c r="O250" s="40"/>
      <c r="P250" s="26" t="s">
        <v>66</v>
      </c>
      <c r="Q250" s="4" t="e">
        <v>#N/A</v>
      </c>
      <c r="WBU250" s="9"/>
      <c r="WBV250" s="9"/>
      <c r="WBW250" s="9"/>
    </row>
    <row r="251" s="4" customFormat="1" ht="40.5" spans="1:15623">
      <c r="A251" s="18" t="s">
        <v>1570</v>
      </c>
      <c r="B251" s="19" t="s">
        <v>1571</v>
      </c>
      <c r="C251" s="18" t="str">
        <f>"661506405650400"</f>
        <v>661506405650400</v>
      </c>
      <c r="D251" s="20" t="s">
        <v>58</v>
      </c>
      <c r="E251" s="20" t="s">
        <v>1572</v>
      </c>
      <c r="F251" s="20" t="s">
        <v>1573</v>
      </c>
      <c r="G251" s="20" t="s">
        <v>60</v>
      </c>
      <c r="H251" s="20" t="s">
        <v>1574</v>
      </c>
      <c r="I251" s="20" t="s">
        <v>1399</v>
      </c>
      <c r="J251" s="20" t="s">
        <v>136</v>
      </c>
      <c r="K251" s="20" t="s">
        <v>1575</v>
      </c>
      <c r="L251" s="20" t="s">
        <v>1576</v>
      </c>
      <c r="M251" s="20">
        <v>0.6</v>
      </c>
      <c r="N251" s="40" t="s">
        <v>66</v>
      </c>
      <c r="O251" s="40"/>
      <c r="P251" s="26" t="s">
        <v>66</v>
      </c>
      <c r="Q251" s="4" t="e">
        <v>#N/A</v>
      </c>
      <c r="WBU251" s="9"/>
      <c r="WBV251" s="9"/>
      <c r="WBW251" s="9"/>
    </row>
    <row r="252" s="4" customFormat="1" ht="54" spans="1:15623">
      <c r="A252" s="18" t="s">
        <v>1577</v>
      </c>
      <c r="B252" s="19" t="s">
        <v>1578</v>
      </c>
      <c r="C252" s="18" t="str">
        <f>"661506405648400"</f>
        <v>661506405648400</v>
      </c>
      <c r="D252" s="20" t="s">
        <v>58</v>
      </c>
      <c r="E252" s="20" t="s">
        <v>1579</v>
      </c>
      <c r="F252" s="20" t="s">
        <v>1580</v>
      </c>
      <c r="G252" s="20" t="s">
        <v>60</v>
      </c>
      <c r="H252" s="20" t="s">
        <v>1557</v>
      </c>
      <c r="I252" s="20" t="s">
        <v>1581</v>
      </c>
      <c r="J252" s="20" t="s">
        <v>205</v>
      </c>
      <c r="K252" s="20" t="s">
        <v>1582</v>
      </c>
      <c r="L252" s="20" t="s">
        <v>1583</v>
      </c>
      <c r="M252" s="20">
        <v>0.6</v>
      </c>
      <c r="N252" s="40" t="s">
        <v>66</v>
      </c>
      <c r="O252" s="40"/>
      <c r="P252" s="26" t="s">
        <v>66</v>
      </c>
      <c r="Q252" s="4" t="e">
        <v>#N/A</v>
      </c>
      <c r="WBU252" s="9"/>
      <c r="WBV252" s="9"/>
      <c r="WBW252" s="9"/>
    </row>
    <row r="253" s="4" customFormat="1" ht="67.5" hidden="1" spans="1:15623">
      <c r="A253" s="20" t="s">
        <v>1584</v>
      </c>
      <c r="B253" s="21" t="s">
        <v>1585</v>
      </c>
      <c r="C253" s="20" t="str">
        <f>"661506405557800"</f>
        <v>661506405557800</v>
      </c>
      <c r="D253" s="20" t="s">
        <v>58</v>
      </c>
      <c r="E253" s="20" t="s">
        <v>1586</v>
      </c>
      <c r="F253" s="20" t="s">
        <v>1587</v>
      </c>
      <c r="G253" s="20" t="s">
        <v>60</v>
      </c>
      <c r="H253" s="20" t="s">
        <v>396</v>
      </c>
      <c r="I253" s="20"/>
      <c r="J253" s="20" t="s">
        <v>105</v>
      </c>
      <c r="K253" s="20" t="s">
        <v>1588</v>
      </c>
      <c r="L253" s="20" t="s">
        <v>1589</v>
      </c>
      <c r="M253" s="20">
        <v>0.6</v>
      </c>
      <c r="N253" s="40" t="s">
        <v>66</v>
      </c>
      <c r="O253" s="40"/>
      <c r="P253" s="64" t="s">
        <v>66</v>
      </c>
      <c r="Q253" s="4" t="e">
        <v>#N/A</v>
      </c>
      <c r="WBU253" s="11"/>
      <c r="WBV253" s="11"/>
      <c r="WBW253" s="11"/>
    </row>
    <row r="254" s="4" customFormat="1" ht="40.5" hidden="1" spans="1:15623">
      <c r="A254" s="20" t="s">
        <v>1590</v>
      </c>
      <c r="B254" s="21" t="s">
        <v>1591</v>
      </c>
      <c r="C254" s="20" t="str">
        <f>"661506405544500"</f>
        <v>661506405544500</v>
      </c>
      <c r="D254" s="20" t="s">
        <v>58</v>
      </c>
      <c r="E254" s="20" t="s">
        <v>1592</v>
      </c>
      <c r="F254" s="20" t="s">
        <v>218</v>
      </c>
      <c r="G254" s="20" t="s">
        <v>60</v>
      </c>
      <c r="H254" s="20" t="s">
        <v>1593</v>
      </c>
      <c r="I254" s="20" t="s">
        <v>1474</v>
      </c>
      <c r="J254" s="20" t="s">
        <v>205</v>
      </c>
      <c r="K254" s="20" t="s">
        <v>1594</v>
      </c>
      <c r="L254" s="20" t="s">
        <v>1595</v>
      </c>
      <c r="M254" s="20">
        <v>0.6</v>
      </c>
      <c r="N254" s="40" t="s">
        <v>66</v>
      </c>
      <c r="O254" s="40"/>
      <c r="P254" s="64" t="s">
        <v>66</v>
      </c>
      <c r="Q254" s="4" t="e">
        <v>#N/A</v>
      </c>
      <c r="WBU254" s="9"/>
      <c r="WBV254" s="9"/>
      <c r="WBW254" s="9"/>
    </row>
    <row r="255" s="4" customFormat="1" ht="40.5" hidden="1" spans="1:15623">
      <c r="A255" s="20" t="s">
        <v>1596</v>
      </c>
      <c r="B255" s="21" t="s">
        <v>1597</v>
      </c>
      <c r="C255" s="20" t="str">
        <f>"661506405532400"</f>
        <v>661506405532400</v>
      </c>
      <c r="D255" s="20" t="s">
        <v>58</v>
      </c>
      <c r="E255" s="20" t="s">
        <v>1598</v>
      </c>
      <c r="F255" s="20"/>
      <c r="G255" s="20" t="s">
        <v>60</v>
      </c>
      <c r="H255" s="20" t="s">
        <v>219</v>
      </c>
      <c r="I255" s="20" t="s">
        <v>1381</v>
      </c>
      <c r="J255" s="20" t="s">
        <v>80</v>
      </c>
      <c r="K255" s="20" t="s">
        <v>169</v>
      </c>
      <c r="L255" s="20" t="s">
        <v>170</v>
      </c>
      <c r="M255" s="20">
        <v>0.6</v>
      </c>
      <c r="N255" s="40" t="s">
        <v>66</v>
      </c>
      <c r="O255" s="40"/>
      <c r="P255" s="26" t="s">
        <v>66</v>
      </c>
      <c r="Q255" s="4" t="e">
        <v>#N/A</v>
      </c>
      <c r="WBU255" s="9"/>
      <c r="WBV255" s="9"/>
      <c r="WBW255" s="9"/>
    </row>
    <row r="256" s="4" customFormat="1" ht="40.5" hidden="1" spans="1:15623">
      <c r="A256" s="20" t="s">
        <v>1599</v>
      </c>
      <c r="B256" s="21" t="s">
        <v>1600</v>
      </c>
      <c r="C256" s="20" t="str">
        <f>"661506405522500"</f>
        <v>661506405522500</v>
      </c>
      <c r="D256" s="20" t="s">
        <v>58</v>
      </c>
      <c r="E256" s="20" t="s">
        <v>1601</v>
      </c>
      <c r="F256" s="20" t="s">
        <v>1602</v>
      </c>
      <c r="G256" s="20" t="s">
        <v>60</v>
      </c>
      <c r="H256" s="20" t="s">
        <v>153</v>
      </c>
      <c r="I256" s="20"/>
      <c r="J256" s="20" t="s">
        <v>136</v>
      </c>
      <c r="K256" s="20" t="s">
        <v>1603</v>
      </c>
      <c r="L256" s="20" t="s">
        <v>1604</v>
      </c>
      <c r="M256" s="20">
        <v>0.6</v>
      </c>
      <c r="N256" s="40" t="s">
        <v>66</v>
      </c>
      <c r="O256" s="40"/>
      <c r="P256" s="26" t="s">
        <v>66</v>
      </c>
      <c r="Q256" s="4" t="e">
        <v>#N/A</v>
      </c>
      <c r="WBU256" s="9"/>
      <c r="WBV256" s="9"/>
      <c r="WBW256" s="9"/>
    </row>
    <row r="257" s="4" customFormat="1" ht="40.5" hidden="1" spans="1:15623">
      <c r="A257" s="20" t="s">
        <v>1605</v>
      </c>
      <c r="B257" s="21" t="s">
        <v>1606</v>
      </c>
      <c r="C257" s="20" t="str">
        <f>"661506405446400"</f>
        <v>661506405446400</v>
      </c>
      <c r="D257" s="20" t="s">
        <v>58</v>
      </c>
      <c r="E257" s="20"/>
      <c r="F257" s="20" t="s">
        <v>1607</v>
      </c>
      <c r="G257" s="20" t="s">
        <v>60</v>
      </c>
      <c r="H257" s="20" t="s">
        <v>378</v>
      </c>
      <c r="I257" s="20" t="s">
        <v>1348</v>
      </c>
      <c r="J257" s="20" t="s">
        <v>1608</v>
      </c>
      <c r="K257" s="20" t="s">
        <v>1609</v>
      </c>
      <c r="L257" s="20" t="s">
        <v>1610</v>
      </c>
      <c r="M257" s="20">
        <v>0.6</v>
      </c>
      <c r="N257" s="40" t="s">
        <v>66</v>
      </c>
      <c r="O257" s="40"/>
      <c r="P257" s="26" t="s">
        <v>66</v>
      </c>
      <c r="Q257" s="4" t="e">
        <v>#N/A</v>
      </c>
      <c r="WBU257" s="9"/>
      <c r="WBV257" s="9"/>
      <c r="WBW257" s="9"/>
    </row>
    <row r="258" s="4" customFormat="1" ht="40.5" hidden="1" spans="1:15623">
      <c r="A258" s="20" t="s">
        <v>1611</v>
      </c>
      <c r="B258" s="21" t="s">
        <v>1612</v>
      </c>
      <c r="C258" s="20" t="str">
        <f>"661506405420400"</f>
        <v>661506405420400</v>
      </c>
      <c r="D258" s="20" t="s">
        <v>58</v>
      </c>
      <c r="E258" s="20" t="s">
        <v>1613</v>
      </c>
      <c r="F258" s="20" t="s">
        <v>1614</v>
      </c>
      <c r="G258" s="20" t="s">
        <v>60</v>
      </c>
      <c r="H258" s="20" t="s">
        <v>167</v>
      </c>
      <c r="I258" s="20"/>
      <c r="J258" s="20" t="s">
        <v>1615</v>
      </c>
      <c r="K258" s="20" t="s">
        <v>1616</v>
      </c>
      <c r="L258" s="20" t="s">
        <v>1617</v>
      </c>
      <c r="M258" s="20">
        <v>0.6</v>
      </c>
      <c r="N258" s="40" t="s">
        <v>66</v>
      </c>
      <c r="O258" s="40"/>
      <c r="P258" s="26" t="s">
        <v>66</v>
      </c>
      <c r="Q258" s="4" t="e">
        <v>#N/A</v>
      </c>
      <c r="WBU258" s="9"/>
      <c r="WBV258" s="9"/>
      <c r="WBW258" s="9"/>
    </row>
    <row r="259" s="4" customFormat="1" ht="40.5" spans="1:15623">
      <c r="A259" s="18" t="s">
        <v>1618</v>
      </c>
      <c r="B259" s="19" t="s">
        <v>1619</v>
      </c>
      <c r="C259" s="18" t="str">
        <f>"661506405418400"</f>
        <v>661506405418400</v>
      </c>
      <c r="D259" s="20" t="s">
        <v>58</v>
      </c>
      <c r="E259" s="20" t="s">
        <v>1620</v>
      </c>
      <c r="F259" s="20" t="s">
        <v>1621</v>
      </c>
      <c r="G259" s="20" t="s">
        <v>60</v>
      </c>
      <c r="H259" s="20" t="s">
        <v>451</v>
      </c>
      <c r="I259" s="20" t="s">
        <v>1110</v>
      </c>
      <c r="J259" s="20" t="s">
        <v>176</v>
      </c>
      <c r="K259" s="20" t="s">
        <v>1622</v>
      </c>
      <c r="L259" s="20" t="s">
        <v>1623</v>
      </c>
      <c r="M259" s="20">
        <v>0.6</v>
      </c>
      <c r="N259" s="40" t="s">
        <v>66</v>
      </c>
      <c r="O259" s="40"/>
      <c r="P259" s="26" t="s">
        <v>66</v>
      </c>
      <c r="Q259" s="4" t="e">
        <v>#N/A</v>
      </c>
      <c r="WBU259" s="9"/>
      <c r="WBV259" s="9"/>
      <c r="WBW259" s="9"/>
    </row>
    <row r="260" s="4" customFormat="1" ht="40.5" spans="1:15623">
      <c r="A260" s="18" t="s">
        <v>1624</v>
      </c>
      <c r="B260" s="19" t="s">
        <v>1625</v>
      </c>
      <c r="C260" s="18" t="str">
        <f>"661506405400600"</f>
        <v>661506405400600</v>
      </c>
      <c r="D260" s="20" t="s">
        <v>532</v>
      </c>
      <c r="E260" s="20" t="s">
        <v>1626</v>
      </c>
      <c r="F260" s="20" t="s">
        <v>1627</v>
      </c>
      <c r="G260" s="20" t="s">
        <v>60</v>
      </c>
      <c r="H260" s="20" t="s">
        <v>197</v>
      </c>
      <c r="I260" s="20" t="s">
        <v>1628</v>
      </c>
      <c r="J260" s="20" t="s">
        <v>605</v>
      </c>
      <c r="K260" s="20" t="s">
        <v>1629</v>
      </c>
      <c r="L260" s="20" t="s">
        <v>1630</v>
      </c>
      <c r="M260" s="20">
        <v>0.6</v>
      </c>
      <c r="N260" s="40" t="s">
        <v>66</v>
      </c>
      <c r="O260" s="40"/>
      <c r="P260" s="26" t="s">
        <v>66</v>
      </c>
      <c r="Q260" s="4" t="e">
        <v>#N/A</v>
      </c>
      <c r="WBU260" s="9"/>
      <c r="WBV260" s="9"/>
      <c r="WBW260" s="9"/>
    </row>
    <row r="261" s="4" customFormat="1" ht="40.5" hidden="1" spans="1:15623">
      <c r="A261" s="20" t="s">
        <v>1631</v>
      </c>
      <c r="B261" s="21" t="s">
        <v>1632</v>
      </c>
      <c r="C261" s="20" t="str">
        <f>"661506405393000"</f>
        <v>661506405393000</v>
      </c>
      <c r="D261" s="20" t="s">
        <v>58</v>
      </c>
      <c r="E261" s="20" t="s">
        <v>1633</v>
      </c>
      <c r="F261" s="20" t="s">
        <v>1634</v>
      </c>
      <c r="G261" s="20" t="s">
        <v>143</v>
      </c>
      <c r="H261" s="20" t="s">
        <v>1635</v>
      </c>
      <c r="I261" s="20" t="s">
        <v>154</v>
      </c>
      <c r="J261" s="20" t="s">
        <v>340</v>
      </c>
      <c r="K261" s="20" t="s">
        <v>1636</v>
      </c>
      <c r="L261" s="20" t="s">
        <v>1637</v>
      </c>
      <c r="M261" s="20">
        <v>0.6</v>
      </c>
      <c r="N261" s="40" t="s">
        <v>66</v>
      </c>
      <c r="O261" s="40"/>
      <c r="P261" s="26" t="s">
        <v>68</v>
      </c>
      <c r="Q261" s="4" t="e">
        <v>#N/A</v>
      </c>
      <c r="WBU261" s="9"/>
      <c r="WBV261" s="9"/>
      <c r="WBW261" s="9"/>
    </row>
    <row r="262" s="4" customFormat="1" ht="40.5" hidden="1" spans="1:15623">
      <c r="A262" s="20" t="s">
        <v>1638</v>
      </c>
      <c r="B262" s="21" t="s">
        <v>1639</v>
      </c>
      <c r="C262" s="20" t="str">
        <f>"661506405254400"</f>
        <v>661506405254400</v>
      </c>
      <c r="D262" s="20" t="s">
        <v>58</v>
      </c>
      <c r="E262" s="20" t="s">
        <v>1640</v>
      </c>
      <c r="F262" s="20"/>
      <c r="G262" s="20" t="s">
        <v>60</v>
      </c>
      <c r="H262" s="20" t="s">
        <v>126</v>
      </c>
      <c r="I262" s="20" t="s">
        <v>1348</v>
      </c>
      <c r="J262" s="20" t="s">
        <v>80</v>
      </c>
      <c r="K262" s="20" t="s">
        <v>169</v>
      </c>
      <c r="L262" s="20" t="s">
        <v>170</v>
      </c>
      <c r="M262" s="20">
        <v>0.6</v>
      </c>
      <c r="N262" s="40" t="s">
        <v>66</v>
      </c>
      <c r="O262" s="40"/>
      <c r="P262" s="26" t="s">
        <v>66</v>
      </c>
      <c r="Q262" s="4" t="e">
        <v>#N/A</v>
      </c>
      <c r="WBU262" s="9"/>
      <c r="WBV262" s="9"/>
      <c r="WBW262" s="9"/>
    </row>
    <row r="263" s="4" customFormat="1" ht="40.5" hidden="1" spans="1:15623">
      <c r="A263" s="20" t="s">
        <v>1641</v>
      </c>
      <c r="B263" s="21" t="s">
        <v>1642</v>
      </c>
      <c r="C263" s="20" t="str">
        <f>"661506405250400"</f>
        <v>661506405250400</v>
      </c>
      <c r="D263" s="20" t="s">
        <v>58</v>
      </c>
      <c r="E263" s="20" t="s">
        <v>1643</v>
      </c>
      <c r="F263" s="20"/>
      <c r="G263" s="20" t="s">
        <v>60</v>
      </c>
      <c r="H263" s="20" t="s">
        <v>1593</v>
      </c>
      <c r="I263" s="20" t="s">
        <v>1348</v>
      </c>
      <c r="J263" s="20" t="s">
        <v>205</v>
      </c>
      <c r="K263" s="20" t="s">
        <v>214</v>
      </c>
      <c r="L263" s="20" t="s">
        <v>215</v>
      </c>
      <c r="M263" s="20">
        <v>0.6</v>
      </c>
      <c r="N263" s="40" t="s">
        <v>66</v>
      </c>
      <c r="O263" s="40"/>
      <c r="P263" s="26" t="s">
        <v>66</v>
      </c>
      <c r="Q263" s="4" t="e">
        <v>#N/A</v>
      </c>
      <c r="WBU263" s="9"/>
      <c r="WBV263" s="9"/>
      <c r="WBW263" s="9"/>
    </row>
    <row r="264" s="4" customFormat="1" ht="40.5" hidden="1" spans="1:15623">
      <c r="A264" s="20" t="s">
        <v>1644</v>
      </c>
      <c r="B264" s="21" t="s">
        <v>1645</v>
      </c>
      <c r="C264" s="20" t="str">
        <f>"661506405248400"</f>
        <v>661506405248400</v>
      </c>
      <c r="D264" s="20" t="s">
        <v>58</v>
      </c>
      <c r="E264" s="20" t="s">
        <v>1646</v>
      </c>
      <c r="F264" s="20" t="s">
        <v>1647</v>
      </c>
      <c r="G264" s="20" t="s">
        <v>60</v>
      </c>
      <c r="H264" s="20" t="s">
        <v>219</v>
      </c>
      <c r="I264" s="20" t="s">
        <v>1648</v>
      </c>
      <c r="J264" s="20" t="s">
        <v>105</v>
      </c>
      <c r="K264" s="20" t="s">
        <v>161</v>
      </c>
      <c r="L264" s="20" t="s">
        <v>162</v>
      </c>
      <c r="M264" s="20">
        <v>0.6</v>
      </c>
      <c r="N264" s="40" t="s">
        <v>66</v>
      </c>
      <c r="O264" s="40"/>
      <c r="P264" s="26" t="s">
        <v>66</v>
      </c>
      <c r="Q264" s="4" t="e">
        <v>#N/A</v>
      </c>
      <c r="WBU264" s="9"/>
      <c r="WBV264" s="9"/>
      <c r="WBW264" s="9"/>
    </row>
    <row r="265" s="4" customFormat="1" ht="40.5" spans="1:15623">
      <c r="A265" s="18" t="s">
        <v>1649</v>
      </c>
      <c r="B265" s="19" t="s">
        <v>1650</v>
      </c>
      <c r="C265" s="18" t="str">
        <f>"661506405191000"</f>
        <v>661506405191000</v>
      </c>
      <c r="D265" s="20" t="s">
        <v>58</v>
      </c>
      <c r="E265" s="20"/>
      <c r="F265" s="20"/>
      <c r="G265" s="20" t="s">
        <v>60</v>
      </c>
      <c r="H265" s="20" t="s">
        <v>776</v>
      </c>
      <c r="I265" s="20" t="s">
        <v>1381</v>
      </c>
      <c r="J265" s="20" t="s">
        <v>128</v>
      </c>
      <c r="K265" s="20" t="s">
        <v>263</v>
      </c>
      <c r="L265" s="20" t="s">
        <v>264</v>
      </c>
      <c r="M265" s="20">
        <v>0.6</v>
      </c>
      <c r="N265" s="40" t="s">
        <v>66</v>
      </c>
      <c r="O265" s="40"/>
      <c r="P265" s="26" t="s">
        <v>66</v>
      </c>
      <c r="Q265" s="4" t="e">
        <v>#N/A</v>
      </c>
      <c r="WBU265" s="9"/>
      <c r="WBV265" s="9"/>
      <c r="WBW265" s="9"/>
    </row>
    <row r="266" s="4" customFormat="1" ht="40.5" hidden="1" spans="1:15623">
      <c r="A266" s="20" t="s">
        <v>1651</v>
      </c>
      <c r="B266" s="21" t="s">
        <v>1652</v>
      </c>
      <c r="C266" s="20" t="str">
        <f>"661506405190400"</f>
        <v>661506405190400</v>
      </c>
      <c r="D266" s="20" t="s">
        <v>58</v>
      </c>
      <c r="E266" s="20" t="s">
        <v>1653</v>
      </c>
      <c r="F266" s="20" t="s">
        <v>1654</v>
      </c>
      <c r="G266" s="20" t="s">
        <v>60</v>
      </c>
      <c r="H266" s="20" t="s">
        <v>174</v>
      </c>
      <c r="I266" s="20" t="s">
        <v>858</v>
      </c>
      <c r="J266" s="20" t="s">
        <v>146</v>
      </c>
      <c r="K266" s="20" t="s">
        <v>1655</v>
      </c>
      <c r="L266" s="20" t="s">
        <v>1656</v>
      </c>
      <c r="M266" s="20">
        <v>0.6</v>
      </c>
      <c r="N266" s="40" t="s">
        <v>66</v>
      </c>
      <c r="O266" s="40"/>
      <c r="P266" s="26" t="s">
        <v>68</v>
      </c>
      <c r="Q266" s="4" t="e">
        <v>#N/A</v>
      </c>
      <c r="WBU266" s="9"/>
      <c r="WBV266" s="9"/>
      <c r="WBW266" s="9"/>
    </row>
    <row r="267" s="4" customFormat="1" ht="40.5" hidden="1" spans="1:15623">
      <c r="A267" s="20" t="s">
        <v>1657</v>
      </c>
      <c r="B267" s="21" t="s">
        <v>1658</v>
      </c>
      <c r="C267" s="20" t="str">
        <f>"661506405188400"</f>
        <v>661506405188400</v>
      </c>
      <c r="D267" s="20" t="s">
        <v>58</v>
      </c>
      <c r="E267" s="20" t="s">
        <v>1659</v>
      </c>
      <c r="F267" s="20" t="s">
        <v>1660</v>
      </c>
      <c r="G267" s="20" t="s">
        <v>60</v>
      </c>
      <c r="H267" s="20" t="s">
        <v>544</v>
      </c>
      <c r="I267" s="20" t="s">
        <v>1348</v>
      </c>
      <c r="J267" s="20" t="s">
        <v>1661</v>
      </c>
      <c r="K267" s="20" t="s">
        <v>1662</v>
      </c>
      <c r="L267" s="20" t="s">
        <v>1663</v>
      </c>
      <c r="M267" s="20">
        <v>0.6</v>
      </c>
      <c r="N267" s="40" t="s">
        <v>66</v>
      </c>
      <c r="O267" s="40"/>
      <c r="P267" s="26" t="s">
        <v>68</v>
      </c>
      <c r="Q267" s="4" t="e">
        <v>#N/A</v>
      </c>
      <c r="WBU267" s="9"/>
      <c r="WBV267" s="9"/>
      <c r="WBW267" s="9"/>
    </row>
    <row r="268" s="4" customFormat="1" ht="40.5" hidden="1" spans="1:15623">
      <c r="A268" s="20" t="s">
        <v>1664</v>
      </c>
      <c r="B268" s="21" t="s">
        <v>1665</v>
      </c>
      <c r="C268" s="20" t="str">
        <f>"661506405176400"</f>
        <v>661506405176400</v>
      </c>
      <c r="D268" s="20" t="s">
        <v>58</v>
      </c>
      <c r="E268" s="20" t="s">
        <v>1666</v>
      </c>
      <c r="F268" s="20" t="s">
        <v>1667</v>
      </c>
      <c r="G268" s="20" t="s">
        <v>60</v>
      </c>
      <c r="H268" s="20" t="s">
        <v>295</v>
      </c>
      <c r="I268" s="20" t="s">
        <v>88</v>
      </c>
      <c r="J268" s="20" t="s">
        <v>1668</v>
      </c>
      <c r="K268" s="20" t="s">
        <v>1669</v>
      </c>
      <c r="L268" s="20" t="s">
        <v>1670</v>
      </c>
      <c r="M268" s="20">
        <v>0.6</v>
      </c>
      <c r="N268" s="40"/>
      <c r="O268" s="40"/>
      <c r="P268" s="26" t="s">
        <v>68</v>
      </c>
      <c r="Q268" s="4" t="e">
        <v>#N/A</v>
      </c>
      <c r="WBU268" s="9"/>
      <c r="WBV268" s="9"/>
      <c r="WBW268" s="9"/>
    </row>
    <row r="269" s="4" customFormat="1" ht="40.5" hidden="1" spans="1:15623">
      <c r="A269" s="62" t="s">
        <v>1671</v>
      </c>
      <c r="B269" s="21" t="s">
        <v>1672</v>
      </c>
      <c r="C269" s="62" t="str">
        <f>"661506405160400"</f>
        <v>661506405160400</v>
      </c>
      <c r="D269" s="20" t="s">
        <v>58</v>
      </c>
      <c r="E269" s="20" t="s">
        <v>1673</v>
      </c>
      <c r="F269" s="20"/>
      <c r="G269" s="20" t="s">
        <v>60</v>
      </c>
      <c r="H269" s="20" t="s">
        <v>1674</v>
      </c>
      <c r="I269" s="20" t="s">
        <v>1356</v>
      </c>
      <c r="J269" s="20" t="s">
        <v>128</v>
      </c>
      <c r="K269" s="20" t="s">
        <v>1675</v>
      </c>
      <c r="L269" s="20" t="s">
        <v>1676</v>
      </c>
      <c r="M269" s="20">
        <v>0.6</v>
      </c>
      <c r="N269" s="40" t="s">
        <v>66</v>
      </c>
      <c r="O269" s="40"/>
      <c r="P269" s="26" t="s">
        <v>163</v>
      </c>
      <c r="Q269" s="4" t="e">
        <v>#N/A</v>
      </c>
      <c r="WBU269" s="9"/>
      <c r="WBV269" s="9"/>
      <c r="WBW269" s="9"/>
    </row>
    <row r="270" s="4" customFormat="1" ht="40.5" spans="1:15623">
      <c r="A270" s="18" t="s">
        <v>1677</v>
      </c>
      <c r="B270" s="19" t="s">
        <v>1678</v>
      </c>
      <c r="C270" s="18" t="str">
        <f>"661506405032400"</f>
        <v>661506405032400</v>
      </c>
      <c r="D270" s="20" t="s">
        <v>58</v>
      </c>
      <c r="E270" s="20" t="s">
        <v>1679</v>
      </c>
      <c r="F270" s="20" t="s">
        <v>1680</v>
      </c>
      <c r="G270" s="20" t="s">
        <v>60</v>
      </c>
      <c r="H270" s="20" t="s">
        <v>1681</v>
      </c>
      <c r="I270" s="20" t="s">
        <v>902</v>
      </c>
      <c r="J270" s="20" t="s">
        <v>303</v>
      </c>
      <c r="K270" s="20" t="s">
        <v>1682</v>
      </c>
      <c r="L270" s="20" t="s">
        <v>1683</v>
      </c>
      <c r="M270" s="20">
        <v>0.6</v>
      </c>
      <c r="N270" s="46" t="s">
        <v>730</v>
      </c>
      <c r="O270" s="40" t="s">
        <v>1454</v>
      </c>
      <c r="P270" s="26" t="s">
        <v>68</v>
      </c>
      <c r="Q270" s="4" t="e">
        <v>#N/A</v>
      </c>
      <c r="WBU270" s="9"/>
      <c r="WBV270" s="9"/>
      <c r="WBW270" s="9"/>
    </row>
    <row r="271" s="4" customFormat="1" ht="40.5" hidden="1" spans="1:15623">
      <c r="A271" s="20" t="s">
        <v>1684</v>
      </c>
      <c r="B271" s="21" t="s">
        <v>1685</v>
      </c>
      <c r="C271" s="20" t="str">
        <f>"661506405006600"</f>
        <v>661506405006600</v>
      </c>
      <c r="D271" s="20" t="s">
        <v>58</v>
      </c>
      <c r="E271" s="20" t="s">
        <v>1686</v>
      </c>
      <c r="F271" s="20" t="s">
        <v>1687</v>
      </c>
      <c r="G271" s="20" t="s">
        <v>60</v>
      </c>
      <c r="H271" s="20" t="s">
        <v>1688</v>
      </c>
      <c r="I271" s="20" t="s">
        <v>95</v>
      </c>
      <c r="J271" s="20" t="s">
        <v>1689</v>
      </c>
      <c r="K271" s="20" t="s">
        <v>1690</v>
      </c>
      <c r="L271" s="20" t="s">
        <v>1691</v>
      </c>
      <c r="M271" s="20">
        <v>0.6</v>
      </c>
      <c r="N271" s="46" t="s">
        <v>730</v>
      </c>
      <c r="O271" s="40" t="s">
        <v>1514</v>
      </c>
      <c r="P271" s="26" t="s">
        <v>68</v>
      </c>
      <c r="Q271" s="4" t="e">
        <v>#N/A</v>
      </c>
      <c r="WBU271" s="9"/>
      <c r="WBV271" s="9"/>
      <c r="WBW271" s="9"/>
    </row>
    <row r="272" s="4" customFormat="1" ht="54" hidden="1" spans="1:15623">
      <c r="A272" s="20" t="s">
        <v>1692</v>
      </c>
      <c r="B272" s="21" t="s">
        <v>1693</v>
      </c>
      <c r="C272" s="20" t="str">
        <f>"661506404980400"</f>
        <v>661506404980400</v>
      </c>
      <c r="D272" s="20" t="s">
        <v>58</v>
      </c>
      <c r="E272" s="20" t="s">
        <v>321</v>
      </c>
      <c r="F272" s="20" t="s">
        <v>1694</v>
      </c>
      <c r="G272" s="20" t="s">
        <v>60</v>
      </c>
      <c r="H272" s="20" t="s">
        <v>1499</v>
      </c>
      <c r="I272" s="20" t="s">
        <v>88</v>
      </c>
      <c r="J272" s="20" t="s">
        <v>1695</v>
      </c>
      <c r="K272" s="20" t="s">
        <v>1696</v>
      </c>
      <c r="L272" s="20" t="s">
        <v>1697</v>
      </c>
      <c r="M272" s="20">
        <v>0.6</v>
      </c>
      <c r="N272" s="46" t="s">
        <v>730</v>
      </c>
      <c r="O272" s="40" t="s">
        <v>1514</v>
      </c>
      <c r="P272" s="43" t="s">
        <v>68</v>
      </c>
      <c r="Q272" s="4" t="e">
        <v>#N/A</v>
      </c>
      <c r="WBU272" s="9"/>
      <c r="WBV272" s="9"/>
      <c r="WBW272" s="9"/>
    </row>
    <row r="273" s="4" customFormat="1" ht="54" spans="1:15623">
      <c r="A273" s="18" t="s">
        <v>1698</v>
      </c>
      <c r="B273" s="19" t="s">
        <v>1699</v>
      </c>
      <c r="C273" s="18" t="str">
        <f>"661506404900600"</f>
        <v>661506404900600</v>
      </c>
      <c r="D273" s="20" t="s">
        <v>58</v>
      </c>
      <c r="E273" s="20" t="s">
        <v>1700</v>
      </c>
      <c r="F273" s="20" t="s">
        <v>1701</v>
      </c>
      <c r="G273" s="20" t="s">
        <v>60</v>
      </c>
      <c r="H273" s="20" t="s">
        <v>1557</v>
      </c>
      <c r="I273" s="20" t="s">
        <v>1280</v>
      </c>
      <c r="J273" s="20" t="s">
        <v>221</v>
      </c>
      <c r="K273" s="20" t="s">
        <v>1349</v>
      </c>
      <c r="L273" s="20" t="s">
        <v>1350</v>
      </c>
      <c r="M273" s="20">
        <v>0.6</v>
      </c>
      <c r="N273" s="46" t="s">
        <v>730</v>
      </c>
      <c r="O273" s="40" t="s">
        <v>1514</v>
      </c>
      <c r="P273" s="26" t="s">
        <v>68</v>
      </c>
      <c r="Q273" s="4" t="e">
        <v>#N/A</v>
      </c>
      <c r="WBU273" s="9"/>
      <c r="WBV273" s="9"/>
      <c r="WBW273" s="9"/>
    </row>
    <row r="274" s="4" customFormat="1" ht="40.5" hidden="1" spans="1:15623">
      <c r="A274" s="20" t="s">
        <v>1702</v>
      </c>
      <c r="B274" s="21" t="s">
        <v>1703</v>
      </c>
      <c r="C274" s="20" t="str">
        <f>"661506404900400"</f>
        <v>661506404900400</v>
      </c>
      <c r="D274" s="20" t="s">
        <v>58</v>
      </c>
      <c r="E274" s="20" t="s">
        <v>1704</v>
      </c>
      <c r="F274" s="20"/>
      <c r="G274" s="20" t="s">
        <v>60</v>
      </c>
      <c r="H274" s="20" t="s">
        <v>852</v>
      </c>
      <c r="I274" s="20" t="s">
        <v>1348</v>
      </c>
      <c r="J274" s="20" t="s">
        <v>205</v>
      </c>
      <c r="K274" s="20" t="s">
        <v>214</v>
      </c>
      <c r="L274" s="20" t="s">
        <v>215</v>
      </c>
      <c r="M274" s="20">
        <v>0.6</v>
      </c>
      <c r="N274" s="40" t="s">
        <v>66</v>
      </c>
      <c r="O274" s="40"/>
      <c r="P274" s="26" t="s">
        <v>66</v>
      </c>
      <c r="Q274" s="4" t="e">
        <v>#N/A</v>
      </c>
      <c r="WBU274" s="9"/>
      <c r="WBV274" s="9"/>
      <c r="WBW274" s="9"/>
    </row>
    <row r="275" s="4" customFormat="1" ht="40.5" hidden="1" spans="1:15623">
      <c r="A275" s="20" t="s">
        <v>1705</v>
      </c>
      <c r="B275" s="21" t="s">
        <v>1706</v>
      </c>
      <c r="C275" s="20" t="str">
        <f>"661506404894400"</f>
        <v>661506404894400</v>
      </c>
      <c r="D275" s="20" t="s">
        <v>58</v>
      </c>
      <c r="E275" s="20" t="s">
        <v>1707</v>
      </c>
      <c r="F275" s="20"/>
      <c r="G275" s="20" t="s">
        <v>143</v>
      </c>
      <c r="H275" s="20" t="s">
        <v>820</v>
      </c>
      <c r="I275" s="20" t="s">
        <v>1391</v>
      </c>
      <c r="J275" s="20" t="s">
        <v>128</v>
      </c>
      <c r="K275" s="20" t="s">
        <v>1708</v>
      </c>
      <c r="L275" s="20" t="s">
        <v>1709</v>
      </c>
      <c r="M275" s="20">
        <v>0.6</v>
      </c>
      <c r="N275" s="40" t="s">
        <v>66</v>
      </c>
      <c r="O275" s="40"/>
      <c r="P275" s="26" t="s">
        <v>66</v>
      </c>
      <c r="Q275" s="4" t="e">
        <v>#N/A</v>
      </c>
      <c r="WBU275" s="9"/>
      <c r="WBV275" s="9"/>
      <c r="WBW275" s="9"/>
    </row>
    <row r="276" s="4" customFormat="1" ht="40.5" hidden="1" spans="1:15623">
      <c r="A276" s="20" t="s">
        <v>1710</v>
      </c>
      <c r="B276" s="21" t="s">
        <v>1711</v>
      </c>
      <c r="C276" s="20" t="str">
        <f>"661506404832700"</f>
        <v>661506404832700</v>
      </c>
      <c r="D276" s="20" t="s">
        <v>58</v>
      </c>
      <c r="E276" s="20" t="s">
        <v>1712</v>
      </c>
      <c r="F276" s="20"/>
      <c r="G276" s="20" t="s">
        <v>143</v>
      </c>
      <c r="H276" s="20" t="s">
        <v>1713</v>
      </c>
      <c r="I276" s="20" t="s">
        <v>175</v>
      </c>
      <c r="J276" s="20" t="s">
        <v>128</v>
      </c>
      <c r="K276" s="20" t="s">
        <v>1714</v>
      </c>
      <c r="L276" s="20" t="s">
        <v>1715</v>
      </c>
      <c r="M276" s="20">
        <v>0.6</v>
      </c>
      <c r="N276" s="40" t="s">
        <v>66</v>
      </c>
      <c r="O276" s="40"/>
      <c r="P276" s="26" t="s">
        <v>66</v>
      </c>
      <c r="Q276" s="4" t="e">
        <v>#N/A</v>
      </c>
      <c r="WBU276" s="9"/>
      <c r="WBV276" s="9"/>
      <c r="WBW276" s="9"/>
    </row>
    <row r="277" s="4" customFormat="1" ht="40.5" spans="1:15623">
      <c r="A277" s="18" t="s">
        <v>1716</v>
      </c>
      <c r="B277" s="19" t="s">
        <v>1717</v>
      </c>
      <c r="C277" s="18" t="str">
        <f>"661506404818900"</f>
        <v>661506404818900</v>
      </c>
      <c r="D277" s="20" t="s">
        <v>464</v>
      </c>
      <c r="E277" s="20" t="s">
        <v>1718</v>
      </c>
      <c r="F277" s="20"/>
      <c r="G277" s="20" t="s">
        <v>143</v>
      </c>
      <c r="H277" s="20" t="s">
        <v>407</v>
      </c>
      <c r="I277" s="20" t="s">
        <v>1348</v>
      </c>
      <c r="J277" s="20" t="s">
        <v>128</v>
      </c>
      <c r="K277" s="20" t="s">
        <v>1719</v>
      </c>
      <c r="L277" s="20" t="s">
        <v>1720</v>
      </c>
      <c r="M277" s="20">
        <v>0.6</v>
      </c>
      <c r="N277" s="46" t="s">
        <v>730</v>
      </c>
      <c r="O277" s="40" t="s">
        <v>1514</v>
      </c>
      <c r="P277" s="26" t="s">
        <v>68</v>
      </c>
      <c r="Q277" s="4" t="e">
        <v>#N/A</v>
      </c>
      <c r="WBU277" s="9"/>
      <c r="WBV277" s="9"/>
      <c r="WBW277" s="9"/>
    </row>
    <row r="278" s="4" customFormat="1" ht="40.5" hidden="1" spans="1:15623">
      <c r="A278" s="20" t="s">
        <v>1721</v>
      </c>
      <c r="B278" s="21" t="s">
        <v>1722</v>
      </c>
      <c r="C278" s="20" t="str">
        <f>"661506404806600"</f>
        <v>661506404806600</v>
      </c>
      <c r="D278" s="20" t="s">
        <v>58</v>
      </c>
      <c r="E278" s="20" t="s">
        <v>1723</v>
      </c>
      <c r="F278" s="20" t="s">
        <v>1724</v>
      </c>
      <c r="G278" s="20" t="s">
        <v>60</v>
      </c>
      <c r="H278" s="20" t="s">
        <v>358</v>
      </c>
      <c r="I278" s="20" t="s">
        <v>1725</v>
      </c>
      <c r="J278" s="20" t="s">
        <v>128</v>
      </c>
      <c r="K278" s="20" t="s">
        <v>1726</v>
      </c>
      <c r="L278" s="20" t="s">
        <v>1727</v>
      </c>
      <c r="M278" s="20">
        <v>0.6</v>
      </c>
      <c r="N278" s="46" t="s">
        <v>730</v>
      </c>
      <c r="O278" s="40" t="s">
        <v>1728</v>
      </c>
      <c r="P278" s="26" t="s">
        <v>68</v>
      </c>
      <c r="Q278" s="4" t="e">
        <v>#N/A</v>
      </c>
      <c r="WBU278" s="9"/>
      <c r="WBV278" s="9"/>
      <c r="WBW278" s="9"/>
    </row>
    <row r="279" s="4" customFormat="1" ht="40.5" hidden="1" spans="1:15623">
      <c r="A279" s="20" t="s">
        <v>1729</v>
      </c>
      <c r="B279" s="21" t="s">
        <v>1730</v>
      </c>
      <c r="C279" s="20" t="str">
        <f>"661506404802400"</f>
        <v>661506404802400</v>
      </c>
      <c r="D279" s="20" t="s">
        <v>58</v>
      </c>
      <c r="E279" s="20" t="s">
        <v>1731</v>
      </c>
      <c r="F279" s="20"/>
      <c r="G279" s="20" t="s">
        <v>60</v>
      </c>
      <c r="H279" s="20" t="s">
        <v>776</v>
      </c>
      <c r="I279" s="20" t="s">
        <v>619</v>
      </c>
      <c r="J279" s="20" t="s">
        <v>128</v>
      </c>
      <c r="K279" s="20" t="s">
        <v>263</v>
      </c>
      <c r="L279" s="20" t="s">
        <v>264</v>
      </c>
      <c r="M279" s="20">
        <v>0.6</v>
      </c>
      <c r="N279" s="40" t="s">
        <v>66</v>
      </c>
      <c r="O279" s="40"/>
      <c r="P279" s="26" t="s">
        <v>66</v>
      </c>
      <c r="Q279" s="4" t="e">
        <v>#N/A</v>
      </c>
      <c r="WBU279" s="9"/>
      <c r="WBV279" s="9"/>
      <c r="WBW279" s="9"/>
    </row>
    <row r="280" s="4" customFormat="1" ht="40.5" hidden="1" spans="1:15623">
      <c r="A280" s="20" t="s">
        <v>1732</v>
      </c>
      <c r="B280" s="21" t="s">
        <v>1733</v>
      </c>
      <c r="C280" s="20" t="str">
        <f>"661506404766400"</f>
        <v>661506404766400</v>
      </c>
      <c r="D280" s="20" t="s">
        <v>58</v>
      </c>
      <c r="E280" s="20" t="s">
        <v>1734</v>
      </c>
      <c r="F280" s="20"/>
      <c r="G280" s="20" t="s">
        <v>143</v>
      </c>
      <c r="H280" s="20" t="s">
        <v>284</v>
      </c>
      <c r="I280" s="20" t="s">
        <v>1348</v>
      </c>
      <c r="J280" s="20" t="s">
        <v>205</v>
      </c>
      <c r="K280" s="20" t="s">
        <v>1735</v>
      </c>
      <c r="L280" s="20" t="s">
        <v>1736</v>
      </c>
      <c r="M280" s="20">
        <v>0.6</v>
      </c>
      <c r="N280" s="40" t="s">
        <v>66</v>
      </c>
      <c r="O280" s="40"/>
      <c r="P280" s="26" t="s">
        <v>66</v>
      </c>
      <c r="Q280" s="4" t="e">
        <v>#N/A</v>
      </c>
      <c r="WBU280" s="9"/>
      <c r="WBV280" s="9"/>
      <c r="WBW280" s="9"/>
    </row>
    <row r="281" s="4" customFormat="1" ht="40.5" hidden="1" spans="1:15623">
      <c r="A281" s="20" t="s">
        <v>1737</v>
      </c>
      <c r="B281" s="21" t="s">
        <v>1738</v>
      </c>
      <c r="C281" s="20" t="str">
        <f>"661506404744600"</f>
        <v>661506404744600</v>
      </c>
      <c r="D281" s="20" t="s">
        <v>532</v>
      </c>
      <c r="E281" s="20" t="s">
        <v>1739</v>
      </c>
      <c r="F281" s="20" t="s">
        <v>1740</v>
      </c>
      <c r="G281" s="20" t="s">
        <v>60</v>
      </c>
      <c r="H281" s="20" t="s">
        <v>413</v>
      </c>
      <c r="I281" s="20" t="s">
        <v>95</v>
      </c>
      <c r="J281" s="20" t="s">
        <v>1741</v>
      </c>
      <c r="K281" s="20" t="s">
        <v>1742</v>
      </c>
      <c r="L281" s="20" t="s">
        <v>1743</v>
      </c>
      <c r="M281" s="20">
        <v>0.6</v>
      </c>
      <c r="N281" s="46" t="s">
        <v>730</v>
      </c>
      <c r="O281" s="40" t="s">
        <v>1514</v>
      </c>
      <c r="P281" s="26" t="s">
        <v>68</v>
      </c>
      <c r="Q281" s="4" t="e">
        <v>#N/A</v>
      </c>
      <c r="WBU281" s="9"/>
      <c r="WBV281" s="9"/>
      <c r="WBW281" s="9"/>
    </row>
    <row r="282" s="4" customFormat="1" ht="40.5" hidden="1" spans="1:15623">
      <c r="A282" s="20" t="s">
        <v>1744</v>
      </c>
      <c r="B282" s="21" t="s">
        <v>1745</v>
      </c>
      <c r="C282" s="20" t="str">
        <f>"661506404712500"</f>
        <v>661506404712500</v>
      </c>
      <c r="D282" s="20" t="s">
        <v>1746</v>
      </c>
      <c r="E282" s="20" t="s">
        <v>1747</v>
      </c>
      <c r="F282" s="20"/>
      <c r="G282" s="20" t="s">
        <v>60</v>
      </c>
      <c r="H282" s="20" t="s">
        <v>153</v>
      </c>
      <c r="I282" s="20" t="s">
        <v>1391</v>
      </c>
      <c r="J282" s="20" t="s">
        <v>221</v>
      </c>
      <c r="K282" s="20" t="s">
        <v>1748</v>
      </c>
      <c r="L282" s="20" t="s">
        <v>1749</v>
      </c>
      <c r="M282" s="20">
        <v>0.6</v>
      </c>
      <c r="N282" s="40" t="s">
        <v>66</v>
      </c>
      <c r="O282" s="40"/>
      <c r="P282" s="26" t="s">
        <v>116</v>
      </c>
      <c r="Q282" s="4" t="e">
        <v>#N/A</v>
      </c>
      <c r="WBU282" s="9"/>
      <c r="WBV282" s="9"/>
      <c r="WBW282" s="9"/>
    </row>
    <row r="283" s="4" customFormat="1" ht="40.5" spans="1:15623">
      <c r="A283" s="18" t="s">
        <v>1750</v>
      </c>
      <c r="B283" s="19" t="s">
        <v>1751</v>
      </c>
      <c r="C283" s="18" t="str">
        <f>"661506404608400"</f>
        <v>661506404608400</v>
      </c>
      <c r="D283" s="20" t="s">
        <v>58</v>
      </c>
      <c r="E283" s="20" t="s">
        <v>1752</v>
      </c>
      <c r="F283" s="20" t="s">
        <v>1753</v>
      </c>
      <c r="G283" s="20" t="s">
        <v>60</v>
      </c>
      <c r="H283" s="20" t="s">
        <v>219</v>
      </c>
      <c r="I283" s="20" t="s">
        <v>1754</v>
      </c>
      <c r="J283" s="20" t="s">
        <v>80</v>
      </c>
      <c r="K283" s="20" t="s">
        <v>169</v>
      </c>
      <c r="L283" s="20" t="s">
        <v>170</v>
      </c>
      <c r="M283" s="20">
        <v>0.6</v>
      </c>
      <c r="N283" s="40" t="s">
        <v>66</v>
      </c>
      <c r="O283" s="40"/>
      <c r="P283" s="26" t="s">
        <v>66</v>
      </c>
      <c r="Q283" s="4" t="e">
        <v>#N/A</v>
      </c>
      <c r="WBU283" s="9"/>
      <c r="WBV283" s="9"/>
      <c r="WBW283" s="9"/>
    </row>
    <row r="284" s="4" customFormat="1" ht="40.5" spans="1:15623">
      <c r="A284" s="18" t="s">
        <v>1755</v>
      </c>
      <c r="B284" s="19" t="s">
        <v>1756</v>
      </c>
      <c r="C284" s="18" t="str">
        <f>"661506404550900"</f>
        <v>661506404550900</v>
      </c>
      <c r="D284" s="20" t="s">
        <v>58</v>
      </c>
      <c r="E284" s="20" t="s">
        <v>1757</v>
      </c>
      <c r="F284" s="20" t="s">
        <v>1758</v>
      </c>
      <c r="G284" s="20" t="s">
        <v>60</v>
      </c>
      <c r="H284" s="20" t="s">
        <v>1296</v>
      </c>
      <c r="I284" s="20" t="s">
        <v>1468</v>
      </c>
      <c r="J284" s="20" t="s">
        <v>128</v>
      </c>
      <c r="K284" s="20" t="s">
        <v>1759</v>
      </c>
      <c r="L284" s="20" t="s">
        <v>1760</v>
      </c>
      <c r="M284" s="20">
        <v>0.6</v>
      </c>
      <c r="N284" s="40" t="s">
        <v>66</v>
      </c>
      <c r="O284" s="40"/>
      <c r="P284" s="26" t="s">
        <v>66</v>
      </c>
      <c r="Q284" s="4" t="e">
        <v>#N/A</v>
      </c>
      <c r="WBU284" s="9"/>
      <c r="WBV284" s="9"/>
      <c r="WBW284" s="9"/>
    </row>
    <row r="285" s="4" customFormat="1" ht="40.5" hidden="1" spans="1:15623">
      <c r="A285" s="20" t="s">
        <v>1761</v>
      </c>
      <c r="B285" s="21" t="s">
        <v>1762</v>
      </c>
      <c r="C285" s="20" t="str">
        <f>"661506404546700"</f>
        <v>661506404546700</v>
      </c>
      <c r="D285" s="20" t="s">
        <v>58</v>
      </c>
      <c r="E285" s="20" t="s">
        <v>1763</v>
      </c>
      <c r="F285" s="20"/>
      <c r="G285" s="20" t="s">
        <v>60</v>
      </c>
      <c r="H285" s="20" t="s">
        <v>234</v>
      </c>
      <c r="I285" s="20" t="s">
        <v>1391</v>
      </c>
      <c r="J285" s="20" t="s">
        <v>105</v>
      </c>
      <c r="K285" s="20" t="s">
        <v>1181</v>
      </c>
      <c r="L285" s="20" t="s">
        <v>1182</v>
      </c>
      <c r="M285" s="20">
        <v>0.6</v>
      </c>
      <c r="N285" s="40" t="s">
        <v>66</v>
      </c>
      <c r="O285" s="40"/>
      <c r="P285" s="26" t="s">
        <v>66</v>
      </c>
      <c r="Q285" s="4" t="e">
        <v>#N/A</v>
      </c>
      <c r="WBU285" s="9"/>
      <c r="WBV285" s="9"/>
      <c r="WBW285" s="9"/>
    </row>
    <row r="286" s="4" customFormat="1" ht="40.5" hidden="1" spans="1:15623">
      <c r="A286" s="20" t="s">
        <v>1764</v>
      </c>
      <c r="B286" s="21" t="s">
        <v>1765</v>
      </c>
      <c r="C286" s="20" t="str">
        <f>"661506404478400"</f>
        <v>661506404478400</v>
      </c>
      <c r="D286" s="20" t="s">
        <v>58</v>
      </c>
      <c r="E286" s="20" t="s">
        <v>1418</v>
      </c>
      <c r="F286" s="20" t="s">
        <v>1766</v>
      </c>
      <c r="G286" s="20" t="s">
        <v>143</v>
      </c>
      <c r="H286" s="20" t="s">
        <v>1767</v>
      </c>
      <c r="I286" s="20" t="s">
        <v>1399</v>
      </c>
      <c r="J286" s="20" t="s">
        <v>146</v>
      </c>
      <c r="K286" s="20" t="s">
        <v>1588</v>
      </c>
      <c r="L286" s="20" t="s">
        <v>1589</v>
      </c>
      <c r="M286" s="20">
        <v>0.6</v>
      </c>
      <c r="N286" s="40" t="s">
        <v>66</v>
      </c>
      <c r="O286" s="40"/>
      <c r="P286" s="43" t="s">
        <v>116</v>
      </c>
      <c r="Q286" s="4" t="e">
        <v>#N/A</v>
      </c>
      <c r="WBU286" s="9"/>
      <c r="WBV286" s="9"/>
      <c r="WBW286" s="9"/>
    </row>
    <row r="287" s="4" customFormat="1" ht="40.5" hidden="1" spans="1:15623">
      <c r="A287" s="20" t="s">
        <v>1768</v>
      </c>
      <c r="B287" s="21" t="s">
        <v>1769</v>
      </c>
      <c r="C287" s="20" t="str">
        <f>"661506404468600"</f>
        <v>661506404468600</v>
      </c>
      <c r="D287" s="20" t="s">
        <v>58</v>
      </c>
      <c r="E287" s="20" t="s">
        <v>1770</v>
      </c>
      <c r="F287" s="20" t="s">
        <v>1771</v>
      </c>
      <c r="G287" s="20" t="s">
        <v>60</v>
      </c>
      <c r="H287" s="20" t="s">
        <v>1772</v>
      </c>
      <c r="I287" s="20" t="s">
        <v>175</v>
      </c>
      <c r="J287" s="20" t="s">
        <v>146</v>
      </c>
      <c r="K287" s="20" t="s">
        <v>1773</v>
      </c>
      <c r="L287" s="20" t="s">
        <v>1774</v>
      </c>
      <c r="M287" s="20">
        <v>0.6</v>
      </c>
      <c r="N287" s="46" t="s">
        <v>730</v>
      </c>
      <c r="O287" s="40" t="s">
        <v>1514</v>
      </c>
      <c r="P287" s="26" t="s">
        <v>68</v>
      </c>
      <c r="Q287" s="4" t="e">
        <v>#N/A</v>
      </c>
      <c r="WBU287" s="9"/>
      <c r="WBV287" s="9"/>
      <c r="WBW287" s="9"/>
    </row>
    <row r="288" s="4" customFormat="1" ht="54" hidden="1" spans="1:15623">
      <c r="A288" s="20" t="s">
        <v>1775</v>
      </c>
      <c r="B288" s="21" t="s">
        <v>1776</v>
      </c>
      <c r="C288" s="20" t="str">
        <f>"661506404468500"</f>
        <v>661506404468500</v>
      </c>
      <c r="D288" s="20" t="s">
        <v>58</v>
      </c>
      <c r="E288" s="20" t="s">
        <v>1777</v>
      </c>
      <c r="F288" s="20" t="s">
        <v>1778</v>
      </c>
      <c r="G288" s="20" t="s">
        <v>60</v>
      </c>
      <c r="H288" s="20" t="s">
        <v>94</v>
      </c>
      <c r="I288" s="20" t="s">
        <v>1348</v>
      </c>
      <c r="J288" s="20" t="s">
        <v>551</v>
      </c>
      <c r="K288" s="20" t="s">
        <v>1779</v>
      </c>
      <c r="L288" s="20" t="s">
        <v>1780</v>
      </c>
      <c r="M288" s="20">
        <v>0.6</v>
      </c>
      <c r="N288" s="46" t="s">
        <v>730</v>
      </c>
      <c r="O288" s="40" t="s">
        <v>1514</v>
      </c>
      <c r="P288" s="26" t="s">
        <v>68</v>
      </c>
      <c r="Q288" s="4" t="e">
        <v>#N/A</v>
      </c>
      <c r="WBU288" s="9"/>
      <c r="WBV288" s="9"/>
      <c r="WBW288" s="9"/>
    </row>
    <row r="289" s="4" customFormat="1" ht="54" hidden="1" spans="1:15623">
      <c r="A289" s="20" t="s">
        <v>1781</v>
      </c>
      <c r="B289" s="21" t="s">
        <v>1782</v>
      </c>
      <c r="C289" s="20" t="str">
        <f>"661506404444700"</f>
        <v>661506404444700</v>
      </c>
      <c r="D289" s="20" t="s">
        <v>292</v>
      </c>
      <c r="E289" s="20" t="s">
        <v>1783</v>
      </c>
      <c r="F289" s="20" t="s">
        <v>1784</v>
      </c>
      <c r="G289" s="20" t="s">
        <v>60</v>
      </c>
      <c r="H289" s="20" t="s">
        <v>295</v>
      </c>
      <c r="I289" s="20" t="s">
        <v>1348</v>
      </c>
      <c r="J289" s="20" t="s">
        <v>631</v>
      </c>
      <c r="K289" s="20" t="s">
        <v>1785</v>
      </c>
      <c r="L289" s="20" t="s">
        <v>1786</v>
      </c>
      <c r="M289" s="20">
        <v>0.6</v>
      </c>
      <c r="N289" s="46" t="s">
        <v>730</v>
      </c>
      <c r="O289" s="40" t="s">
        <v>1787</v>
      </c>
      <c r="P289" s="26" t="s">
        <v>68</v>
      </c>
      <c r="Q289" s="4" t="e">
        <v>#N/A</v>
      </c>
      <c r="WBU289" s="9"/>
      <c r="WBV289" s="9"/>
      <c r="WBW289" s="9"/>
    </row>
    <row r="290" s="4" customFormat="1" ht="40.5" hidden="1" spans="1:15623">
      <c r="A290" s="20" t="s">
        <v>1788</v>
      </c>
      <c r="B290" s="21" t="s">
        <v>1789</v>
      </c>
      <c r="C290" s="20" t="str">
        <f>"661506404444600"</f>
        <v>661506404444600</v>
      </c>
      <c r="D290" s="20" t="s">
        <v>58</v>
      </c>
      <c r="E290" s="20" t="s">
        <v>1790</v>
      </c>
      <c r="F290" s="20"/>
      <c r="G290" s="20" t="s">
        <v>60</v>
      </c>
      <c r="H290" s="20" t="s">
        <v>240</v>
      </c>
      <c r="I290" s="20" t="s">
        <v>1348</v>
      </c>
      <c r="J290" s="20" t="s">
        <v>1695</v>
      </c>
      <c r="K290" s="20" t="s">
        <v>1791</v>
      </c>
      <c r="L290" s="20" t="s">
        <v>1792</v>
      </c>
      <c r="M290" s="20">
        <v>0.6</v>
      </c>
      <c r="N290" s="40" t="s">
        <v>66</v>
      </c>
      <c r="O290" s="40"/>
      <c r="P290" s="26" t="s">
        <v>66</v>
      </c>
      <c r="Q290" s="4" t="e">
        <v>#N/A</v>
      </c>
      <c r="WBU290" s="9"/>
      <c r="WBV290" s="9"/>
      <c r="WBW290" s="9"/>
    </row>
    <row r="291" s="4" customFormat="1" ht="40.5" hidden="1" spans="1:15623">
      <c r="A291" s="20" t="s">
        <v>1793</v>
      </c>
      <c r="B291" s="21" t="s">
        <v>1794</v>
      </c>
      <c r="C291" s="20" t="str">
        <f>"661506404428600"</f>
        <v>661506404428600</v>
      </c>
      <c r="D291" s="20" t="s">
        <v>58</v>
      </c>
      <c r="E291" s="20" t="s">
        <v>1795</v>
      </c>
      <c r="F291" s="20" t="s">
        <v>1796</v>
      </c>
      <c r="G291" s="20" t="s">
        <v>60</v>
      </c>
      <c r="H291" s="20" t="s">
        <v>153</v>
      </c>
      <c r="I291" s="20" t="s">
        <v>619</v>
      </c>
      <c r="J291" s="20" t="s">
        <v>1797</v>
      </c>
      <c r="K291" s="20" t="s">
        <v>1798</v>
      </c>
      <c r="L291" s="20" t="s">
        <v>1799</v>
      </c>
      <c r="M291" s="20">
        <v>0.6</v>
      </c>
      <c r="N291" s="46" t="s">
        <v>730</v>
      </c>
      <c r="O291" s="40" t="s">
        <v>1800</v>
      </c>
      <c r="P291" s="26" t="s">
        <v>68</v>
      </c>
      <c r="Q291" s="4" t="e">
        <v>#N/A</v>
      </c>
      <c r="WBU291" s="9"/>
      <c r="WBV291" s="9"/>
      <c r="WBW291" s="9"/>
    </row>
    <row r="292" s="4" customFormat="1" ht="40.5" hidden="1" spans="1:15623">
      <c r="A292" s="20" t="s">
        <v>1801</v>
      </c>
      <c r="B292" s="21" t="s">
        <v>1802</v>
      </c>
      <c r="C292" s="20" t="str">
        <f>"661506404424400"</f>
        <v>661506404424400</v>
      </c>
      <c r="D292" s="20" t="s">
        <v>58</v>
      </c>
      <c r="E292" s="20" t="s">
        <v>1803</v>
      </c>
      <c r="F292" s="20"/>
      <c r="G292" s="20" t="s">
        <v>60</v>
      </c>
      <c r="H292" s="20" t="s">
        <v>413</v>
      </c>
      <c r="I292" s="20" t="s">
        <v>1754</v>
      </c>
      <c r="J292" s="20" t="s">
        <v>205</v>
      </c>
      <c r="K292" s="20" t="s">
        <v>1804</v>
      </c>
      <c r="L292" s="20" t="s">
        <v>1805</v>
      </c>
      <c r="M292" s="20">
        <v>0.6</v>
      </c>
      <c r="N292" s="40" t="s">
        <v>66</v>
      </c>
      <c r="O292" s="40"/>
      <c r="P292" s="26" t="s">
        <v>66</v>
      </c>
      <c r="Q292" s="4" t="e">
        <v>#N/A</v>
      </c>
      <c r="WBU292" s="9"/>
      <c r="WBV292" s="9"/>
      <c r="WBW292" s="9"/>
    </row>
    <row r="293" s="4" customFormat="1" ht="40.5" spans="1:15623">
      <c r="A293" s="18" t="s">
        <v>1806</v>
      </c>
      <c r="B293" s="19" t="s">
        <v>1807</v>
      </c>
      <c r="C293" s="18" t="str">
        <f>"661506404368500"</f>
        <v>661506404368500</v>
      </c>
      <c r="D293" s="20" t="s">
        <v>58</v>
      </c>
      <c r="E293" s="20" t="s">
        <v>1808</v>
      </c>
      <c r="F293" s="20" t="s">
        <v>1809</v>
      </c>
      <c r="G293" s="20" t="s">
        <v>60</v>
      </c>
      <c r="H293" s="20" t="s">
        <v>600</v>
      </c>
      <c r="I293" s="20" t="s">
        <v>1348</v>
      </c>
      <c r="J293" s="20" t="s">
        <v>205</v>
      </c>
      <c r="K293" s="20" t="s">
        <v>1810</v>
      </c>
      <c r="L293" s="20" t="s">
        <v>1811</v>
      </c>
      <c r="M293" s="20">
        <v>0.6</v>
      </c>
      <c r="N293" s="40" t="s">
        <v>66</v>
      </c>
      <c r="O293" s="40"/>
      <c r="P293" s="26" t="s">
        <v>66</v>
      </c>
      <c r="Q293" s="4" t="e">
        <v>#N/A</v>
      </c>
      <c r="WBU293" s="9"/>
      <c r="WBV293" s="9"/>
      <c r="WBW293" s="9"/>
    </row>
    <row r="294" s="4" customFormat="1" ht="54" hidden="1" spans="1:15623">
      <c r="A294" s="20" t="s">
        <v>1812</v>
      </c>
      <c r="B294" s="21" t="s">
        <v>1813</v>
      </c>
      <c r="C294" s="20" t="str">
        <f>"661506404352400"</f>
        <v>661506404352400</v>
      </c>
      <c r="D294" s="20" t="s">
        <v>58</v>
      </c>
      <c r="E294" s="20" t="s">
        <v>1814</v>
      </c>
      <c r="F294" s="20" t="s">
        <v>1815</v>
      </c>
      <c r="G294" s="20" t="s">
        <v>60</v>
      </c>
      <c r="H294" s="20" t="s">
        <v>120</v>
      </c>
      <c r="I294" s="20" t="s">
        <v>121</v>
      </c>
      <c r="J294" s="20" t="s">
        <v>128</v>
      </c>
      <c r="K294" s="20" t="s">
        <v>1816</v>
      </c>
      <c r="L294" s="20" t="s">
        <v>1817</v>
      </c>
      <c r="M294" s="20">
        <v>0.6</v>
      </c>
      <c r="N294" s="40" t="s">
        <v>66</v>
      </c>
      <c r="O294" s="40"/>
      <c r="P294" s="26" t="s">
        <v>66</v>
      </c>
      <c r="Q294" s="4" t="e">
        <v>#N/A</v>
      </c>
      <c r="WBU294" s="9"/>
      <c r="WBV294" s="9"/>
      <c r="WBW294" s="9"/>
    </row>
    <row r="295" s="4" customFormat="1" ht="54" hidden="1" spans="1:15623">
      <c r="A295" s="20" t="s">
        <v>1818</v>
      </c>
      <c r="B295" s="21" t="s">
        <v>1819</v>
      </c>
      <c r="C295" s="20" t="str">
        <f>"661506404340400"</f>
        <v>661506404340400</v>
      </c>
      <c r="D295" s="20" t="s">
        <v>58</v>
      </c>
      <c r="E295" s="20" t="s">
        <v>1820</v>
      </c>
      <c r="F295" s="20" t="s">
        <v>1821</v>
      </c>
      <c r="G295" s="20" t="s">
        <v>60</v>
      </c>
      <c r="H295" s="20" t="s">
        <v>120</v>
      </c>
      <c r="I295" s="20" t="s">
        <v>1510</v>
      </c>
      <c r="J295" s="20" t="s">
        <v>205</v>
      </c>
      <c r="K295" s="20" t="s">
        <v>1822</v>
      </c>
      <c r="L295" s="20" t="s">
        <v>1823</v>
      </c>
      <c r="M295" s="20">
        <v>0.6</v>
      </c>
      <c r="N295" s="40" t="s">
        <v>66</v>
      </c>
      <c r="O295" s="40"/>
      <c r="P295" s="26" t="s">
        <v>68</v>
      </c>
      <c r="Q295" s="4" t="e">
        <v>#N/A</v>
      </c>
      <c r="WBU295" s="9"/>
      <c r="WBV295" s="9"/>
      <c r="WBW295" s="9"/>
    </row>
    <row r="296" s="4" customFormat="1" ht="27" spans="1:15623">
      <c r="A296" s="18" t="s">
        <v>1824</v>
      </c>
      <c r="B296" s="19" t="s">
        <v>1825</v>
      </c>
      <c r="C296" s="18" t="str">
        <f>"661506404322400"</f>
        <v>661506404322400</v>
      </c>
      <c r="D296" s="20" t="s">
        <v>362</v>
      </c>
      <c r="E296" s="20" t="s">
        <v>1826</v>
      </c>
      <c r="F296" s="20" t="s">
        <v>1827</v>
      </c>
      <c r="G296" s="20" t="s">
        <v>143</v>
      </c>
      <c r="H296" s="20" t="s">
        <v>153</v>
      </c>
      <c r="I296" s="20" t="s">
        <v>112</v>
      </c>
      <c r="J296" s="20" t="s">
        <v>146</v>
      </c>
      <c r="K296" s="20" t="s">
        <v>1828</v>
      </c>
      <c r="L296" s="20" t="s">
        <v>1829</v>
      </c>
      <c r="M296" s="20">
        <v>0.6</v>
      </c>
      <c r="N296" s="40" t="s">
        <v>66</v>
      </c>
      <c r="O296" s="40"/>
      <c r="P296" s="26" t="s">
        <v>68</v>
      </c>
      <c r="Q296" s="4" t="e">
        <v>#N/A</v>
      </c>
      <c r="WBU296" s="9"/>
      <c r="WBV296" s="9"/>
      <c r="WBW296" s="9"/>
    </row>
    <row r="297" s="4" customFormat="1" ht="54" hidden="1" spans="1:15623">
      <c r="A297" s="20" t="s">
        <v>1830</v>
      </c>
      <c r="B297" s="21" t="s">
        <v>1831</v>
      </c>
      <c r="C297" s="20" t="str">
        <f>"661506404150400"</f>
        <v>661506404150400</v>
      </c>
      <c r="D297" s="20" t="s">
        <v>58</v>
      </c>
      <c r="E297" s="20" t="s">
        <v>1832</v>
      </c>
      <c r="F297" s="20" t="s">
        <v>1833</v>
      </c>
      <c r="G297" s="20" t="s">
        <v>60</v>
      </c>
      <c r="H297" s="20" t="s">
        <v>1499</v>
      </c>
      <c r="I297" s="20" t="s">
        <v>397</v>
      </c>
      <c r="J297" s="20" t="s">
        <v>1834</v>
      </c>
      <c r="K297" s="20" t="s">
        <v>1835</v>
      </c>
      <c r="L297" s="20" t="s">
        <v>1836</v>
      </c>
      <c r="M297" s="20">
        <v>0.6</v>
      </c>
      <c r="N297" s="40" t="s">
        <v>66</v>
      </c>
      <c r="O297" s="40"/>
      <c r="P297" s="26" t="s">
        <v>68</v>
      </c>
      <c r="Q297" s="4" t="e">
        <v>#N/A</v>
      </c>
      <c r="WBU297" s="9"/>
      <c r="WBV297" s="9"/>
      <c r="WBW297" s="9"/>
    </row>
    <row r="298" s="4" customFormat="1" ht="54" hidden="1" spans="1:15623">
      <c r="A298" s="20" t="s">
        <v>1837</v>
      </c>
      <c r="B298" s="21" t="s">
        <v>1838</v>
      </c>
      <c r="C298" s="20" t="str">
        <f>"661506404134400"</f>
        <v>661506404134400</v>
      </c>
      <c r="D298" s="20" t="s">
        <v>1839</v>
      </c>
      <c r="E298" s="20" t="s">
        <v>1840</v>
      </c>
      <c r="F298" s="20" t="s">
        <v>1841</v>
      </c>
      <c r="G298" s="20" t="s">
        <v>60</v>
      </c>
      <c r="H298" s="20" t="s">
        <v>1499</v>
      </c>
      <c r="I298" s="20" t="s">
        <v>112</v>
      </c>
      <c r="J298" s="20" t="s">
        <v>191</v>
      </c>
      <c r="K298" s="20" t="s">
        <v>1842</v>
      </c>
      <c r="L298" s="20" t="s">
        <v>1843</v>
      </c>
      <c r="M298" s="20">
        <v>0.6</v>
      </c>
      <c r="N298" s="46" t="s">
        <v>730</v>
      </c>
      <c r="O298" s="40" t="s">
        <v>1844</v>
      </c>
      <c r="P298" s="26" t="s">
        <v>68</v>
      </c>
      <c r="Q298" s="4" t="e">
        <v>#N/A</v>
      </c>
      <c r="WBU298" s="9"/>
      <c r="WBV298" s="9"/>
      <c r="WBW298" s="9"/>
    </row>
    <row r="299" s="4" customFormat="1" ht="40.5" hidden="1" spans="1:15623">
      <c r="A299" s="20" t="s">
        <v>1845</v>
      </c>
      <c r="B299" s="21" t="s">
        <v>1846</v>
      </c>
      <c r="C299" s="20" t="str">
        <f>"661506404128400"</f>
        <v>661506404128400</v>
      </c>
      <c r="D299" s="20" t="s">
        <v>58</v>
      </c>
      <c r="E299" s="20" t="s">
        <v>1847</v>
      </c>
      <c r="F299" s="20" t="s">
        <v>1848</v>
      </c>
      <c r="G299" s="20" t="s">
        <v>60</v>
      </c>
      <c r="H299" s="20" t="s">
        <v>1849</v>
      </c>
      <c r="I299" s="20" t="s">
        <v>1850</v>
      </c>
      <c r="J299" s="20" t="s">
        <v>228</v>
      </c>
      <c r="K299" s="20" t="s">
        <v>1851</v>
      </c>
      <c r="L299" s="20" t="s">
        <v>1852</v>
      </c>
      <c r="M299" s="20">
        <v>0.6</v>
      </c>
      <c r="N299" s="40" t="s">
        <v>66</v>
      </c>
      <c r="O299" s="40"/>
      <c r="P299" s="26" t="s">
        <v>66</v>
      </c>
      <c r="Q299" s="4" t="e">
        <v>#N/A</v>
      </c>
      <c r="WBU299" s="9"/>
      <c r="WBV299" s="9"/>
      <c r="WBW299" s="9"/>
    </row>
    <row r="300" s="4" customFormat="1" ht="54" hidden="1" spans="1:15623">
      <c r="A300" s="20" t="s">
        <v>1853</v>
      </c>
      <c r="B300" s="21" t="s">
        <v>1854</v>
      </c>
      <c r="C300" s="20" t="str">
        <f>"661506404026400"</f>
        <v>661506404026400</v>
      </c>
      <c r="D300" s="20" t="s">
        <v>58</v>
      </c>
      <c r="E300" s="20" t="s">
        <v>1855</v>
      </c>
      <c r="F300" s="20" t="s">
        <v>1856</v>
      </c>
      <c r="G300" s="20" t="s">
        <v>60</v>
      </c>
      <c r="H300" s="20" t="s">
        <v>626</v>
      </c>
      <c r="I300" s="20" t="s">
        <v>1381</v>
      </c>
      <c r="J300" s="20" t="s">
        <v>1857</v>
      </c>
      <c r="K300" s="20" t="s">
        <v>1858</v>
      </c>
      <c r="L300" s="20" t="s">
        <v>1859</v>
      </c>
      <c r="M300" s="20">
        <v>0.6</v>
      </c>
      <c r="N300" s="40" t="s">
        <v>66</v>
      </c>
      <c r="O300" s="40"/>
      <c r="P300" s="26" t="s">
        <v>66</v>
      </c>
      <c r="Q300" s="4" t="e">
        <v>#N/A</v>
      </c>
      <c r="WBU300" s="9"/>
      <c r="WBV300" s="9"/>
      <c r="WBW300" s="9"/>
    </row>
    <row r="301" s="4" customFormat="1" ht="67.5" hidden="1" spans="1:15623">
      <c r="A301" s="20" t="s">
        <v>1860</v>
      </c>
      <c r="B301" s="21" t="s">
        <v>1861</v>
      </c>
      <c r="C301" s="20" t="str">
        <f>"661506403926400"</f>
        <v>661506403926400</v>
      </c>
      <c r="D301" s="20" t="s">
        <v>464</v>
      </c>
      <c r="E301" s="20" t="s">
        <v>1862</v>
      </c>
      <c r="F301" s="20"/>
      <c r="G301" s="20" t="s">
        <v>60</v>
      </c>
      <c r="H301" s="20" t="s">
        <v>219</v>
      </c>
      <c r="I301" s="20" t="s">
        <v>1348</v>
      </c>
      <c r="J301" s="20" t="s">
        <v>80</v>
      </c>
      <c r="K301" s="20" t="s">
        <v>1863</v>
      </c>
      <c r="L301" s="20" t="s">
        <v>1864</v>
      </c>
      <c r="M301" s="20">
        <v>0.6</v>
      </c>
      <c r="N301" s="46" t="s">
        <v>730</v>
      </c>
      <c r="O301" s="41" t="s">
        <v>1865</v>
      </c>
      <c r="P301" s="26" t="s">
        <v>68</v>
      </c>
      <c r="Q301" s="4" t="e">
        <v>#N/A</v>
      </c>
      <c r="WBU301" s="9"/>
      <c r="WBV301" s="9"/>
      <c r="WBW301" s="9"/>
    </row>
    <row r="302" s="4" customFormat="1" ht="54" hidden="1" spans="1:15623">
      <c r="A302" s="20" t="s">
        <v>1866</v>
      </c>
      <c r="B302" s="21" t="s">
        <v>1867</v>
      </c>
      <c r="C302" s="20" t="str">
        <f>"661506403854500"</f>
        <v>661506403854500</v>
      </c>
      <c r="D302" s="20" t="s">
        <v>58</v>
      </c>
      <c r="E302" s="20" t="s">
        <v>1868</v>
      </c>
      <c r="F302" s="20"/>
      <c r="G302" s="20" t="s">
        <v>60</v>
      </c>
      <c r="H302" s="20" t="s">
        <v>120</v>
      </c>
      <c r="I302" s="20" t="s">
        <v>1754</v>
      </c>
      <c r="J302" s="20" t="s">
        <v>105</v>
      </c>
      <c r="K302" s="20" t="s">
        <v>1869</v>
      </c>
      <c r="L302" s="20" t="s">
        <v>1870</v>
      </c>
      <c r="M302" s="20">
        <v>0.6</v>
      </c>
      <c r="N302" s="40" t="s">
        <v>66</v>
      </c>
      <c r="O302" s="40"/>
      <c r="P302" s="26" t="s">
        <v>66</v>
      </c>
      <c r="Q302" s="4" t="e">
        <v>#N/A</v>
      </c>
      <c r="WBU302" s="9"/>
      <c r="WBV302" s="9"/>
      <c r="WBW302" s="9"/>
    </row>
    <row r="303" s="4" customFormat="1" ht="40.5" spans="1:15623">
      <c r="A303" s="18" t="s">
        <v>1871</v>
      </c>
      <c r="B303" s="19" t="s">
        <v>1872</v>
      </c>
      <c r="C303" s="18" t="str">
        <f>"661506403788400"</f>
        <v>661506403788400</v>
      </c>
      <c r="D303" s="20" t="s">
        <v>58</v>
      </c>
      <c r="E303" s="20" t="s">
        <v>1873</v>
      </c>
      <c r="F303" s="20"/>
      <c r="G303" s="20" t="s">
        <v>60</v>
      </c>
      <c r="H303" s="20" t="s">
        <v>1180</v>
      </c>
      <c r="I303" s="20" t="s">
        <v>1874</v>
      </c>
      <c r="J303" s="20" t="s">
        <v>80</v>
      </c>
      <c r="K303" s="20" t="s">
        <v>1875</v>
      </c>
      <c r="L303" s="20" t="s">
        <v>1876</v>
      </c>
      <c r="M303" s="20">
        <v>0.6</v>
      </c>
      <c r="N303" s="40" t="s">
        <v>66</v>
      </c>
      <c r="O303" s="40"/>
      <c r="P303" s="26" t="s">
        <v>66</v>
      </c>
      <c r="Q303" s="4" t="e">
        <v>#N/A</v>
      </c>
      <c r="WBU303" s="9"/>
      <c r="WBV303" s="9"/>
      <c r="WBW303" s="9"/>
    </row>
    <row r="304" s="4" customFormat="1" ht="40.5" hidden="1" spans="1:15623">
      <c r="A304" s="20" t="s">
        <v>1877</v>
      </c>
      <c r="B304" s="21" t="s">
        <v>1878</v>
      </c>
      <c r="C304" s="20" t="str">
        <f>"661506403642700"</f>
        <v>661506403642700</v>
      </c>
      <c r="D304" s="20" t="s">
        <v>58</v>
      </c>
      <c r="E304" s="20" t="s">
        <v>1879</v>
      </c>
      <c r="F304" s="20"/>
      <c r="G304" s="20" t="s">
        <v>60</v>
      </c>
      <c r="H304" s="20" t="s">
        <v>126</v>
      </c>
      <c r="I304" s="20" t="s">
        <v>1348</v>
      </c>
      <c r="J304" s="20" t="s">
        <v>221</v>
      </c>
      <c r="K304" s="20" t="s">
        <v>1880</v>
      </c>
      <c r="L304" s="20" t="s">
        <v>1881</v>
      </c>
      <c r="M304" s="20">
        <v>0.3</v>
      </c>
      <c r="N304" s="46" t="s">
        <v>730</v>
      </c>
      <c r="O304" s="40" t="s">
        <v>1882</v>
      </c>
      <c r="P304" s="26" t="s">
        <v>68</v>
      </c>
      <c r="Q304" s="4" t="e">
        <v>#N/A</v>
      </c>
      <c r="WBU304" s="9"/>
      <c r="WBV304" s="9"/>
      <c r="WBW304" s="9"/>
    </row>
    <row r="305" s="4" customFormat="1" ht="40.5" hidden="1" spans="1:15623">
      <c r="A305" s="20" t="s">
        <v>1883</v>
      </c>
      <c r="B305" s="21" t="s">
        <v>1884</v>
      </c>
      <c r="C305" s="20" t="str">
        <f>"661506403626300"</f>
        <v>661506403626300</v>
      </c>
      <c r="D305" s="20" t="s">
        <v>58</v>
      </c>
      <c r="E305" s="20" t="s">
        <v>1885</v>
      </c>
      <c r="F305" s="20"/>
      <c r="G305" s="20" t="s">
        <v>60</v>
      </c>
      <c r="H305" s="20" t="s">
        <v>413</v>
      </c>
      <c r="I305" s="20" t="s">
        <v>1391</v>
      </c>
      <c r="J305" s="20" t="s">
        <v>80</v>
      </c>
      <c r="K305" s="20" t="s">
        <v>169</v>
      </c>
      <c r="L305" s="20" t="s">
        <v>170</v>
      </c>
      <c r="M305" s="20">
        <v>0.6</v>
      </c>
      <c r="N305" s="40" t="s">
        <v>66</v>
      </c>
      <c r="O305" s="40"/>
      <c r="P305" s="26" t="s">
        <v>66</v>
      </c>
      <c r="Q305" s="4" t="e">
        <v>#N/A</v>
      </c>
      <c r="WBU305" s="9"/>
      <c r="WBV305" s="9"/>
      <c r="WBW305" s="9"/>
    </row>
    <row r="306" s="9" customFormat="1" ht="27" hidden="1" spans="1:17">
      <c r="A306" s="20" t="s">
        <v>1886</v>
      </c>
      <c r="B306" s="21" t="s">
        <v>1887</v>
      </c>
      <c r="C306" s="20" t="str">
        <f>"661506403464300"</f>
        <v>661506403464300</v>
      </c>
      <c r="D306" s="65" t="s">
        <v>1048</v>
      </c>
      <c r="E306" s="65" t="s">
        <v>1888</v>
      </c>
      <c r="F306" s="65"/>
      <c r="G306" s="65" t="s">
        <v>60</v>
      </c>
      <c r="H306" s="65" t="s">
        <v>544</v>
      </c>
      <c r="I306" s="115" t="s">
        <v>190</v>
      </c>
      <c r="J306" s="65" t="s">
        <v>105</v>
      </c>
      <c r="K306" s="65" t="s">
        <v>1889</v>
      </c>
      <c r="L306" s="65" t="s">
        <v>1890</v>
      </c>
      <c r="M306" s="65">
        <v>0.6</v>
      </c>
      <c r="N306" s="67" t="s">
        <v>66</v>
      </c>
      <c r="O306" s="37"/>
      <c r="P306" s="37"/>
      <c r="Q306" s="9" t="e">
        <v>#N/A</v>
      </c>
    </row>
    <row r="307" s="10" customFormat="1" ht="120" hidden="1" spans="1:17">
      <c r="A307" s="20" t="s">
        <v>1891</v>
      </c>
      <c r="B307" s="21" t="s">
        <v>1892</v>
      </c>
      <c r="C307" s="20" t="str">
        <f>"661506403447100"</f>
        <v>661506403447100</v>
      </c>
      <c r="D307" s="26" t="s">
        <v>58</v>
      </c>
      <c r="E307" s="26" t="s">
        <v>1893</v>
      </c>
      <c r="F307" s="26">
        <v>13304735422</v>
      </c>
      <c r="G307" s="26" t="s">
        <v>60</v>
      </c>
      <c r="H307" s="26" t="s">
        <v>401</v>
      </c>
      <c r="I307" s="26" t="s">
        <v>1391</v>
      </c>
      <c r="J307" s="26" t="s">
        <v>1481</v>
      </c>
      <c r="K307" s="26" t="s">
        <v>1894</v>
      </c>
      <c r="L307" s="26" t="s">
        <v>1895</v>
      </c>
      <c r="M307" s="26">
        <v>0.6</v>
      </c>
      <c r="N307" s="68" t="s">
        <v>116</v>
      </c>
      <c r="O307" s="69" t="s">
        <v>1896</v>
      </c>
      <c r="P307" s="70"/>
      <c r="Q307" s="10" t="e">
        <v>#N/A</v>
      </c>
    </row>
    <row r="308" s="9" customFormat="1" ht="27" hidden="1" spans="1:17">
      <c r="A308" s="20" t="s">
        <v>1897</v>
      </c>
      <c r="B308" s="21" t="s">
        <v>1898</v>
      </c>
      <c r="C308" s="20" t="str">
        <f>"661506403308300"</f>
        <v>661506403308300</v>
      </c>
      <c r="D308" s="65" t="s">
        <v>58</v>
      </c>
      <c r="E308" s="65" t="s">
        <v>1899</v>
      </c>
      <c r="F308" s="65"/>
      <c r="G308" s="65" t="s">
        <v>60</v>
      </c>
      <c r="H308" s="65" t="s">
        <v>709</v>
      </c>
      <c r="I308" s="116" t="s">
        <v>688</v>
      </c>
      <c r="J308" s="65" t="s">
        <v>128</v>
      </c>
      <c r="K308" s="65" t="s">
        <v>263</v>
      </c>
      <c r="L308" s="65" t="s">
        <v>264</v>
      </c>
      <c r="M308" s="65">
        <v>0.6</v>
      </c>
      <c r="N308" s="37" t="s">
        <v>66</v>
      </c>
      <c r="O308" s="37"/>
      <c r="P308" s="37"/>
      <c r="Q308" s="9" t="e">
        <v>#N/A</v>
      </c>
    </row>
    <row r="309" s="9" customFormat="1" ht="27" hidden="1" spans="1:17">
      <c r="A309" s="20" t="s">
        <v>1900</v>
      </c>
      <c r="B309" s="21" t="s">
        <v>1901</v>
      </c>
      <c r="C309" s="20" t="str">
        <f>"661506403304300"</f>
        <v>661506403304300</v>
      </c>
      <c r="D309" s="65" t="s">
        <v>292</v>
      </c>
      <c r="E309" s="65" t="s">
        <v>1902</v>
      </c>
      <c r="F309" s="65" t="s">
        <v>1903</v>
      </c>
      <c r="G309" s="65" t="s">
        <v>60</v>
      </c>
      <c r="H309" s="65" t="s">
        <v>79</v>
      </c>
      <c r="I309" s="65" t="s">
        <v>1904</v>
      </c>
      <c r="J309" s="65" t="s">
        <v>1905</v>
      </c>
      <c r="K309" s="65" t="s">
        <v>1906</v>
      </c>
      <c r="L309" s="65" t="s">
        <v>1907</v>
      </c>
      <c r="M309" s="65">
        <v>0.6</v>
      </c>
      <c r="N309" s="37" t="s">
        <v>66</v>
      </c>
      <c r="O309" s="37"/>
      <c r="P309" s="37"/>
      <c r="Q309" s="9" t="e">
        <v>#N/A</v>
      </c>
    </row>
    <row r="310" s="9" customFormat="1" ht="27" hidden="1" spans="1:17">
      <c r="A310" s="20" t="s">
        <v>1908</v>
      </c>
      <c r="B310" s="21" t="s">
        <v>1909</v>
      </c>
      <c r="C310" s="20" t="str">
        <f>"661506403160600"</f>
        <v>661506403160600</v>
      </c>
      <c r="D310" s="65" t="s">
        <v>58</v>
      </c>
      <c r="E310" s="65" t="s">
        <v>1910</v>
      </c>
      <c r="F310" s="65"/>
      <c r="G310" s="65" t="s">
        <v>60</v>
      </c>
      <c r="H310" s="65" t="s">
        <v>79</v>
      </c>
      <c r="I310" s="65" t="s">
        <v>1381</v>
      </c>
      <c r="J310" s="65" t="s">
        <v>205</v>
      </c>
      <c r="K310" s="65" t="s">
        <v>1911</v>
      </c>
      <c r="L310" s="65" t="s">
        <v>1912</v>
      </c>
      <c r="M310" s="65">
        <v>0.6</v>
      </c>
      <c r="N310" s="37" t="s">
        <v>66</v>
      </c>
      <c r="O310" s="37"/>
      <c r="P310" s="37"/>
      <c r="Q310" s="9" t="e">
        <v>#N/A</v>
      </c>
    </row>
    <row r="311" s="11" customFormat="1" ht="36" hidden="1" spans="1:17">
      <c r="A311" s="20" t="s">
        <v>1913</v>
      </c>
      <c r="B311" s="21" t="s">
        <v>1914</v>
      </c>
      <c r="C311" s="20" t="str">
        <f>"661506403150700"</f>
        <v>661506403150700</v>
      </c>
      <c r="D311" s="65" t="s">
        <v>58</v>
      </c>
      <c r="E311" s="65"/>
      <c r="F311" s="66"/>
      <c r="G311" s="65" t="s">
        <v>60</v>
      </c>
      <c r="H311" s="66" t="s">
        <v>120</v>
      </c>
      <c r="I311" s="117" t="s">
        <v>154</v>
      </c>
      <c r="J311" s="66" t="s">
        <v>146</v>
      </c>
      <c r="K311" s="66" t="s">
        <v>1915</v>
      </c>
      <c r="L311" s="66" t="s">
        <v>1916</v>
      </c>
      <c r="M311" s="65">
        <v>0.6</v>
      </c>
      <c r="N311" s="37" t="s">
        <v>66</v>
      </c>
      <c r="O311" s="72"/>
      <c r="P311" s="72"/>
      <c r="Q311" s="11" t="e">
        <v>#N/A</v>
      </c>
    </row>
    <row r="312" s="11" customFormat="1" ht="27" hidden="1" spans="1:17">
      <c r="A312" s="20" t="s">
        <v>1917</v>
      </c>
      <c r="B312" s="21" t="s">
        <v>1918</v>
      </c>
      <c r="C312" s="20" t="str">
        <f>"661506403062300"</f>
        <v>661506403062300</v>
      </c>
      <c r="D312" s="65" t="s">
        <v>532</v>
      </c>
      <c r="E312" s="65" t="s">
        <v>1919</v>
      </c>
      <c r="F312" s="66">
        <v>15704877468</v>
      </c>
      <c r="G312" s="65" t="s">
        <v>60</v>
      </c>
      <c r="H312" s="66" t="s">
        <v>600</v>
      </c>
      <c r="I312" s="117" t="s">
        <v>175</v>
      </c>
      <c r="J312" s="66" t="s">
        <v>340</v>
      </c>
      <c r="K312" s="66" t="s">
        <v>1920</v>
      </c>
      <c r="L312" s="66" t="s">
        <v>1921</v>
      </c>
      <c r="M312" s="65">
        <v>0.6</v>
      </c>
      <c r="N312" s="73" t="s">
        <v>66</v>
      </c>
      <c r="O312" s="72"/>
      <c r="P312" s="72"/>
      <c r="Q312" s="11" t="e">
        <v>#N/A</v>
      </c>
    </row>
    <row r="313" s="9" customFormat="1" ht="27" hidden="1" spans="1:17">
      <c r="A313" s="20" t="s">
        <v>1922</v>
      </c>
      <c r="B313" s="21" t="s">
        <v>1923</v>
      </c>
      <c r="C313" s="20" t="str">
        <f>"661506403058300"</f>
        <v>661506403058300</v>
      </c>
      <c r="D313" s="65" t="s">
        <v>58</v>
      </c>
      <c r="E313" s="65" t="s">
        <v>1924</v>
      </c>
      <c r="F313" s="65" t="s">
        <v>1925</v>
      </c>
      <c r="G313" s="65" t="s">
        <v>60</v>
      </c>
      <c r="H313" s="65" t="s">
        <v>1926</v>
      </c>
      <c r="I313" s="115" t="s">
        <v>112</v>
      </c>
      <c r="J313" s="65" t="s">
        <v>96</v>
      </c>
      <c r="K313" s="65" t="s">
        <v>1927</v>
      </c>
      <c r="L313" s="65" t="s">
        <v>1928</v>
      </c>
      <c r="M313" s="65">
        <v>0.6</v>
      </c>
      <c r="N313" s="37" t="s">
        <v>66</v>
      </c>
      <c r="O313" s="37"/>
      <c r="P313" s="37"/>
      <c r="Q313" s="9" t="e">
        <v>#N/A</v>
      </c>
    </row>
    <row r="314" s="11" customFormat="1" ht="27" hidden="1" spans="1:17">
      <c r="A314" s="20" t="s">
        <v>1929</v>
      </c>
      <c r="B314" s="21" t="s">
        <v>1930</v>
      </c>
      <c r="C314" s="20" t="str">
        <f>"661506403038300"</f>
        <v>661506403038300</v>
      </c>
      <c r="D314" s="65" t="s">
        <v>58</v>
      </c>
      <c r="E314" s="65" t="s">
        <v>1931</v>
      </c>
      <c r="F314" s="66" t="s">
        <v>1932</v>
      </c>
      <c r="G314" s="65" t="s">
        <v>60</v>
      </c>
      <c r="H314" s="66" t="s">
        <v>153</v>
      </c>
      <c r="I314" s="117" t="s">
        <v>1933</v>
      </c>
      <c r="J314" s="66" t="s">
        <v>80</v>
      </c>
      <c r="K314" s="66" t="s">
        <v>185</v>
      </c>
      <c r="L314" s="66" t="s">
        <v>169</v>
      </c>
      <c r="M314" s="65">
        <v>0.6</v>
      </c>
      <c r="N314" s="72" t="s">
        <v>66</v>
      </c>
      <c r="O314" s="72"/>
      <c r="P314" s="72"/>
      <c r="Q314" s="11" t="e">
        <v>#N/A</v>
      </c>
    </row>
    <row r="315" s="9" customFormat="1" ht="27" hidden="1" spans="1:17">
      <c r="A315" s="20" t="s">
        <v>1934</v>
      </c>
      <c r="B315" s="21" t="s">
        <v>1935</v>
      </c>
      <c r="C315" s="20" t="str">
        <f>"661506403030300"</f>
        <v>661506403030300</v>
      </c>
      <c r="D315" s="65" t="s">
        <v>58</v>
      </c>
      <c r="E315" s="65"/>
      <c r="F315" s="65"/>
      <c r="G315" s="65" t="s">
        <v>60</v>
      </c>
      <c r="H315" s="65" t="s">
        <v>256</v>
      </c>
      <c r="I315" s="116" t="s">
        <v>1936</v>
      </c>
      <c r="J315" s="65" t="s">
        <v>80</v>
      </c>
      <c r="K315" s="65" t="s">
        <v>1937</v>
      </c>
      <c r="L315" s="65" t="s">
        <v>1938</v>
      </c>
      <c r="M315" s="65">
        <v>0.6</v>
      </c>
      <c r="N315" s="37" t="s">
        <v>66</v>
      </c>
      <c r="O315" s="37"/>
      <c r="P315" s="37"/>
      <c r="Q315" s="9" t="e">
        <v>#N/A</v>
      </c>
    </row>
    <row r="316" s="9" customFormat="1" ht="27" hidden="1" spans="1:17">
      <c r="A316" s="20" t="s">
        <v>1939</v>
      </c>
      <c r="B316" s="21" t="s">
        <v>1940</v>
      </c>
      <c r="C316" s="20" t="str">
        <f>"661506402952600"</f>
        <v>661506402952600</v>
      </c>
      <c r="D316" s="65" t="s">
        <v>58</v>
      </c>
      <c r="E316" s="65" t="s">
        <v>1941</v>
      </c>
      <c r="F316" s="65" t="s">
        <v>1942</v>
      </c>
      <c r="G316" s="65" t="s">
        <v>143</v>
      </c>
      <c r="H316" s="65" t="s">
        <v>746</v>
      </c>
      <c r="I316" s="116" t="s">
        <v>1943</v>
      </c>
      <c r="J316" s="65" t="s">
        <v>205</v>
      </c>
      <c r="K316" s="65" t="s">
        <v>214</v>
      </c>
      <c r="L316" s="65" t="s">
        <v>215</v>
      </c>
      <c r="M316" s="65">
        <v>0.6</v>
      </c>
      <c r="N316" s="37" t="s">
        <v>66</v>
      </c>
      <c r="O316" s="37"/>
      <c r="P316" s="37"/>
      <c r="Q316" s="9" t="e">
        <v>#N/A</v>
      </c>
    </row>
    <row r="317" s="11" customFormat="1" ht="36" hidden="1" spans="1:17">
      <c r="A317" s="20" t="s">
        <v>1944</v>
      </c>
      <c r="B317" s="21" t="s">
        <v>1945</v>
      </c>
      <c r="C317" s="20" t="str">
        <f>"661506402952500"</f>
        <v>661506402952500</v>
      </c>
      <c r="D317" s="65" t="s">
        <v>58</v>
      </c>
      <c r="E317" s="65" t="s">
        <v>1946</v>
      </c>
      <c r="F317" s="66" t="s">
        <v>1947</v>
      </c>
      <c r="G317" s="65" t="s">
        <v>60</v>
      </c>
      <c r="H317" s="66" t="s">
        <v>94</v>
      </c>
      <c r="I317" s="66" t="s">
        <v>1948</v>
      </c>
      <c r="J317" s="66" t="s">
        <v>205</v>
      </c>
      <c r="K317" s="66" t="s">
        <v>1949</v>
      </c>
      <c r="L317" s="66" t="s">
        <v>1950</v>
      </c>
      <c r="M317" s="65">
        <v>0.6</v>
      </c>
      <c r="N317" s="72" t="s">
        <v>66</v>
      </c>
      <c r="O317" s="72"/>
      <c r="P317" s="72"/>
      <c r="Q317" s="11" t="e">
        <v>#N/A</v>
      </c>
    </row>
    <row r="318" s="11" customFormat="1" ht="27" hidden="1" spans="1:17">
      <c r="A318" s="20" t="s">
        <v>1951</v>
      </c>
      <c r="B318" s="21" t="s">
        <v>1952</v>
      </c>
      <c r="C318" s="20" t="str">
        <f>"661506402822500"</f>
        <v>661506402822500</v>
      </c>
      <c r="D318" s="65" t="s">
        <v>58</v>
      </c>
      <c r="E318" s="65"/>
      <c r="F318" s="66"/>
      <c r="G318" s="65" t="s">
        <v>60</v>
      </c>
      <c r="H318" s="66" t="s">
        <v>358</v>
      </c>
      <c r="I318" s="117" t="s">
        <v>1953</v>
      </c>
      <c r="J318" s="66" t="s">
        <v>80</v>
      </c>
      <c r="K318" s="66" t="s">
        <v>1954</v>
      </c>
      <c r="L318" s="66" t="s">
        <v>1955</v>
      </c>
      <c r="M318" s="65">
        <v>0.6</v>
      </c>
      <c r="N318" s="72" t="s">
        <v>66</v>
      </c>
      <c r="O318" s="72"/>
      <c r="P318" s="72"/>
      <c r="Q318" s="11" t="e">
        <v>#N/A</v>
      </c>
    </row>
    <row r="319" s="11" customFormat="1" ht="27" hidden="1" spans="1:17">
      <c r="A319" s="20" t="s">
        <v>1956</v>
      </c>
      <c r="B319" s="21" t="s">
        <v>1957</v>
      </c>
      <c r="C319" s="20" t="str">
        <f>"661506402810800"</f>
        <v>661506402810800</v>
      </c>
      <c r="D319" s="65" t="s">
        <v>58</v>
      </c>
      <c r="E319" s="65" t="s">
        <v>1958</v>
      </c>
      <c r="F319" s="66"/>
      <c r="G319" s="65" t="s">
        <v>60</v>
      </c>
      <c r="H319" s="66" t="s">
        <v>1959</v>
      </c>
      <c r="I319" s="66" t="s">
        <v>112</v>
      </c>
      <c r="J319" s="66" t="s">
        <v>1960</v>
      </c>
      <c r="K319" s="66" t="s">
        <v>1961</v>
      </c>
      <c r="L319" s="66" t="s">
        <v>1962</v>
      </c>
      <c r="M319" s="65">
        <v>0.6</v>
      </c>
      <c r="N319" s="74" t="s">
        <v>66</v>
      </c>
      <c r="O319" s="74"/>
      <c r="P319" s="74"/>
      <c r="Q319" s="11" t="e">
        <v>#N/A</v>
      </c>
    </row>
    <row r="320" s="10" customFormat="1" ht="108" hidden="1" spans="1:17">
      <c r="A320" s="20" t="s">
        <v>1963</v>
      </c>
      <c r="B320" s="21" t="s">
        <v>1964</v>
      </c>
      <c r="C320" s="20" t="str">
        <f>"661506402802600"</f>
        <v>661506402802600</v>
      </c>
      <c r="D320" s="26" t="s">
        <v>58</v>
      </c>
      <c r="E320" s="26" t="s">
        <v>1965</v>
      </c>
      <c r="F320" s="26" t="s">
        <v>1587</v>
      </c>
      <c r="G320" s="26" t="s">
        <v>60</v>
      </c>
      <c r="H320" s="26" t="s">
        <v>153</v>
      </c>
      <c r="I320" s="118" t="s">
        <v>1966</v>
      </c>
      <c r="J320" s="26" t="s">
        <v>1341</v>
      </c>
      <c r="K320" s="26" t="s">
        <v>1967</v>
      </c>
      <c r="L320" s="26" t="s">
        <v>1968</v>
      </c>
      <c r="M320" s="26">
        <v>0.6</v>
      </c>
      <c r="N320" s="68" t="s">
        <v>116</v>
      </c>
      <c r="O320" s="68" t="s">
        <v>1969</v>
      </c>
      <c r="P320" s="68"/>
      <c r="Q320" s="10" t="e">
        <v>#N/A</v>
      </c>
    </row>
    <row r="321" s="10" customFormat="1" ht="120" hidden="1" spans="1:17">
      <c r="A321" s="20" t="s">
        <v>1970</v>
      </c>
      <c r="B321" s="21" t="s">
        <v>1971</v>
      </c>
      <c r="C321" s="20" t="str">
        <f>"661506402774300"</f>
        <v>661506402774300</v>
      </c>
      <c r="D321" s="26" t="s">
        <v>58</v>
      </c>
      <c r="E321" s="26" t="s">
        <v>1972</v>
      </c>
      <c r="F321" s="26" t="s">
        <v>1973</v>
      </c>
      <c r="G321" s="26" t="s">
        <v>60</v>
      </c>
      <c r="H321" s="26" t="s">
        <v>197</v>
      </c>
      <c r="I321" s="26" t="s">
        <v>1381</v>
      </c>
      <c r="J321" s="26" t="s">
        <v>128</v>
      </c>
      <c r="K321" s="26" t="s">
        <v>263</v>
      </c>
      <c r="L321" s="26" t="s">
        <v>264</v>
      </c>
      <c r="M321" s="26">
        <v>0.6</v>
      </c>
      <c r="N321" s="68" t="s">
        <v>116</v>
      </c>
      <c r="O321" s="68" t="s">
        <v>1974</v>
      </c>
      <c r="P321" s="68"/>
      <c r="Q321" s="10" t="e">
        <v>#N/A</v>
      </c>
    </row>
    <row r="322" s="11" customFormat="1" ht="48" hidden="1" spans="1:17">
      <c r="A322" s="20" t="s">
        <v>1975</v>
      </c>
      <c r="B322" s="21" t="s">
        <v>1976</v>
      </c>
      <c r="C322" s="20" t="str">
        <f>"661506402770600"</f>
        <v>661506402770600</v>
      </c>
      <c r="D322" s="65" t="s">
        <v>58</v>
      </c>
      <c r="E322" s="65" t="s">
        <v>1977</v>
      </c>
      <c r="F322" s="66" t="s">
        <v>1978</v>
      </c>
      <c r="G322" s="65" t="s">
        <v>60</v>
      </c>
      <c r="H322" s="66" t="s">
        <v>1499</v>
      </c>
      <c r="I322" s="117" t="s">
        <v>175</v>
      </c>
      <c r="J322" s="66" t="s">
        <v>1979</v>
      </c>
      <c r="K322" s="66" t="s">
        <v>1980</v>
      </c>
      <c r="L322" s="66" t="s">
        <v>1981</v>
      </c>
      <c r="M322" s="65">
        <v>0.6</v>
      </c>
      <c r="N322" s="73" t="s">
        <v>66</v>
      </c>
      <c r="O322" s="72"/>
      <c r="P322" s="72"/>
      <c r="Q322" s="11" t="e">
        <v>#N/A</v>
      </c>
    </row>
    <row r="323" s="9" customFormat="1" ht="27" hidden="1" spans="1:17">
      <c r="A323" s="20" t="s">
        <v>1982</v>
      </c>
      <c r="B323" s="21" t="s">
        <v>1983</v>
      </c>
      <c r="C323" s="20" t="str">
        <f>"661506402742700"</f>
        <v>661506402742700</v>
      </c>
      <c r="D323" s="65" t="s">
        <v>58</v>
      </c>
      <c r="E323" s="65" t="s">
        <v>1984</v>
      </c>
      <c r="F323" s="65" t="s">
        <v>1985</v>
      </c>
      <c r="G323" s="65" t="s">
        <v>60</v>
      </c>
      <c r="H323" s="65" t="s">
        <v>1986</v>
      </c>
      <c r="I323" s="115" t="s">
        <v>1936</v>
      </c>
      <c r="J323" s="65" t="s">
        <v>128</v>
      </c>
      <c r="K323" s="65" t="s">
        <v>1238</v>
      </c>
      <c r="L323" s="65" t="s">
        <v>1239</v>
      </c>
      <c r="M323" s="65">
        <v>0.6</v>
      </c>
      <c r="N323" s="37" t="s">
        <v>66</v>
      </c>
      <c r="O323" s="37"/>
      <c r="P323" s="37"/>
      <c r="Q323" s="9" t="e">
        <v>#N/A</v>
      </c>
    </row>
    <row r="324" s="11" customFormat="1" ht="27" hidden="1" spans="1:17">
      <c r="A324" s="20" t="s">
        <v>1987</v>
      </c>
      <c r="B324" s="21" t="s">
        <v>1988</v>
      </c>
      <c r="C324" s="20" t="str">
        <f>"661506402711300"</f>
        <v>661506402711300</v>
      </c>
      <c r="D324" s="65" t="s">
        <v>58</v>
      </c>
      <c r="E324" s="65" t="s">
        <v>1989</v>
      </c>
      <c r="F324" s="66"/>
      <c r="G324" s="65" t="s">
        <v>60</v>
      </c>
      <c r="H324" s="66" t="s">
        <v>1674</v>
      </c>
      <c r="I324" s="117" t="s">
        <v>1990</v>
      </c>
      <c r="J324" s="66" t="s">
        <v>191</v>
      </c>
      <c r="K324" s="66" t="s">
        <v>1991</v>
      </c>
      <c r="L324" s="66" t="s">
        <v>1992</v>
      </c>
      <c r="M324" s="65">
        <v>0.6</v>
      </c>
      <c r="N324" s="72" t="s">
        <v>66</v>
      </c>
      <c r="O324" s="72"/>
      <c r="P324" s="72"/>
      <c r="Q324" s="11" t="e">
        <v>#N/A</v>
      </c>
    </row>
    <row r="325" s="9" customFormat="1" ht="27" hidden="1" spans="1:17">
      <c r="A325" s="20" t="s">
        <v>1993</v>
      </c>
      <c r="B325" s="21" t="s">
        <v>1994</v>
      </c>
      <c r="C325" s="20" t="str">
        <f>"661506402684300"</f>
        <v>661506402684300</v>
      </c>
      <c r="D325" s="65" t="s">
        <v>58</v>
      </c>
      <c r="E325" s="65"/>
      <c r="F325" s="65"/>
      <c r="G325" s="65" t="s">
        <v>60</v>
      </c>
      <c r="H325" s="65" t="s">
        <v>126</v>
      </c>
      <c r="I325" s="115" t="s">
        <v>88</v>
      </c>
      <c r="J325" s="65" t="s">
        <v>176</v>
      </c>
      <c r="K325" s="65" t="s">
        <v>1995</v>
      </c>
      <c r="L325" s="65" t="s">
        <v>1996</v>
      </c>
      <c r="M325" s="65">
        <v>0.6</v>
      </c>
      <c r="N325" s="68" t="s">
        <v>66</v>
      </c>
      <c r="O325" s="68"/>
      <c r="P325" s="68"/>
      <c r="Q325" s="9" t="e">
        <v>#N/A</v>
      </c>
    </row>
    <row r="326" s="9" customFormat="1" ht="27" hidden="1" spans="1:17">
      <c r="A326" s="20" t="s">
        <v>1997</v>
      </c>
      <c r="B326" s="21" t="s">
        <v>1998</v>
      </c>
      <c r="C326" s="20" t="str">
        <f>"661506402666300"</f>
        <v>661506402666300</v>
      </c>
      <c r="D326" s="65" t="s">
        <v>58</v>
      </c>
      <c r="E326" s="65" t="s">
        <v>1999</v>
      </c>
      <c r="F326" s="65"/>
      <c r="G326" s="65" t="s">
        <v>60</v>
      </c>
      <c r="H326" s="65" t="s">
        <v>111</v>
      </c>
      <c r="I326" s="65" t="s">
        <v>1348</v>
      </c>
      <c r="J326" s="65" t="s">
        <v>176</v>
      </c>
      <c r="K326" s="65" t="s">
        <v>2000</v>
      </c>
      <c r="L326" s="65" t="s">
        <v>1188</v>
      </c>
      <c r="M326" s="65">
        <v>0.6</v>
      </c>
      <c r="N326" s="37" t="s">
        <v>66</v>
      </c>
      <c r="O326" s="37"/>
      <c r="P326" s="37"/>
      <c r="Q326" s="9" t="e">
        <v>#N/A</v>
      </c>
    </row>
    <row r="327" s="11" customFormat="1" ht="36" hidden="1" spans="1:17">
      <c r="A327" s="20" t="s">
        <v>2001</v>
      </c>
      <c r="B327" s="21" t="s">
        <v>2002</v>
      </c>
      <c r="C327" s="20" t="str">
        <f>"661506402570300"</f>
        <v>661506402570300</v>
      </c>
      <c r="D327" s="65" t="s">
        <v>58</v>
      </c>
      <c r="E327" s="65" t="s">
        <v>2003</v>
      </c>
      <c r="F327" s="66" t="s">
        <v>2004</v>
      </c>
      <c r="G327" s="65" t="s">
        <v>60</v>
      </c>
      <c r="H327" s="66" t="s">
        <v>2005</v>
      </c>
      <c r="I327" s="117" t="s">
        <v>2006</v>
      </c>
      <c r="J327" s="66" t="s">
        <v>1037</v>
      </c>
      <c r="K327" s="66" t="s">
        <v>2007</v>
      </c>
      <c r="L327" s="66" t="s">
        <v>2008</v>
      </c>
      <c r="M327" s="65">
        <v>0.6</v>
      </c>
      <c r="N327" s="72" t="s">
        <v>66</v>
      </c>
      <c r="O327" s="72"/>
      <c r="P327" s="72"/>
      <c r="Q327" s="11" t="e">
        <v>#N/A</v>
      </c>
    </row>
    <row r="328" s="11" customFormat="1" ht="27" hidden="1" spans="1:17">
      <c r="A328" s="20" t="s">
        <v>2009</v>
      </c>
      <c r="B328" s="21" t="s">
        <v>2010</v>
      </c>
      <c r="C328" s="20" t="str">
        <f>"661506402518300"</f>
        <v>661506402518300</v>
      </c>
      <c r="D328" s="65" t="s">
        <v>58</v>
      </c>
      <c r="E328" s="65" t="s">
        <v>2011</v>
      </c>
      <c r="F328" s="66" t="s">
        <v>1856</v>
      </c>
      <c r="G328" s="65" t="s">
        <v>60</v>
      </c>
      <c r="H328" s="66" t="s">
        <v>1305</v>
      </c>
      <c r="I328" s="117" t="s">
        <v>88</v>
      </c>
      <c r="J328" s="66" t="s">
        <v>551</v>
      </c>
      <c r="K328" s="66" t="s">
        <v>2012</v>
      </c>
      <c r="L328" s="66" t="s">
        <v>2013</v>
      </c>
      <c r="M328" s="65">
        <v>0.6</v>
      </c>
      <c r="N328" s="72" t="s">
        <v>66</v>
      </c>
      <c r="O328" s="72"/>
      <c r="P328" s="72"/>
      <c r="Q328" s="11" t="e">
        <v>#N/A</v>
      </c>
    </row>
    <row r="329" s="10" customFormat="1" ht="27" hidden="1" spans="1:17">
      <c r="A329" s="20" t="s">
        <v>2014</v>
      </c>
      <c r="B329" s="21" t="s">
        <v>2015</v>
      </c>
      <c r="C329" s="20" t="str">
        <f>"661506402514300"</f>
        <v>661506402514300</v>
      </c>
      <c r="D329" s="26" t="s">
        <v>58</v>
      </c>
      <c r="E329" s="26" t="s">
        <v>2016</v>
      </c>
      <c r="F329" s="26"/>
      <c r="G329" s="26" t="s">
        <v>60</v>
      </c>
      <c r="H329" s="26" t="s">
        <v>79</v>
      </c>
      <c r="I329" s="26" t="s">
        <v>1381</v>
      </c>
      <c r="J329" s="26" t="s">
        <v>128</v>
      </c>
      <c r="K329" s="26" t="s">
        <v>263</v>
      </c>
      <c r="L329" s="26" t="s">
        <v>264</v>
      </c>
      <c r="M329" s="26">
        <v>0.6</v>
      </c>
      <c r="N329" s="67" t="s">
        <v>2017</v>
      </c>
      <c r="O329" s="37" t="s">
        <v>2018</v>
      </c>
      <c r="P329" s="37"/>
      <c r="Q329" s="10" t="e">
        <v>#N/A</v>
      </c>
    </row>
    <row r="330" s="9" customFormat="1" ht="27" hidden="1" spans="1:17">
      <c r="A330" s="20" t="s">
        <v>2019</v>
      </c>
      <c r="B330" s="21" t="s">
        <v>2020</v>
      </c>
      <c r="C330" s="20" t="str">
        <f>"661506402318300"</f>
        <v>661506402318300</v>
      </c>
      <c r="D330" s="65" t="s">
        <v>58</v>
      </c>
      <c r="E330" s="65" t="s">
        <v>2021</v>
      </c>
      <c r="F330" s="65" t="s">
        <v>1480</v>
      </c>
      <c r="G330" s="65" t="s">
        <v>60</v>
      </c>
      <c r="H330" s="65" t="s">
        <v>234</v>
      </c>
      <c r="I330" s="65" t="s">
        <v>1381</v>
      </c>
      <c r="J330" s="65" t="s">
        <v>595</v>
      </c>
      <c r="K330" s="65" t="s">
        <v>2022</v>
      </c>
      <c r="L330" s="65" t="s">
        <v>2023</v>
      </c>
      <c r="M330" s="65">
        <v>0.6</v>
      </c>
      <c r="N330" s="37" t="s">
        <v>66</v>
      </c>
      <c r="O330" s="37"/>
      <c r="P330" s="37"/>
      <c r="Q330" s="9" t="e">
        <v>#N/A</v>
      </c>
    </row>
    <row r="331" s="11" customFormat="1" ht="27" hidden="1" spans="1:17">
      <c r="A331" s="20" t="s">
        <v>2024</v>
      </c>
      <c r="B331" s="21" t="s">
        <v>2025</v>
      </c>
      <c r="C331" s="20" t="str">
        <f>"661506402304300"</f>
        <v>661506402304300</v>
      </c>
      <c r="D331" s="65" t="s">
        <v>292</v>
      </c>
      <c r="E331" s="65" t="s">
        <v>2026</v>
      </c>
      <c r="F331" s="66"/>
      <c r="G331" s="65" t="s">
        <v>60</v>
      </c>
      <c r="H331" s="66" t="s">
        <v>189</v>
      </c>
      <c r="I331" s="117" t="s">
        <v>397</v>
      </c>
      <c r="J331" s="66" t="s">
        <v>1102</v>
      </c>
      <c r="K331" s="66" t="s">
        <v>2027</v>
      </c>
      <c r="L331" s="66" t="s">
        <v>2028</v>
      </c>
      <c r="M331" s="65">
        <v>0.6</v>
      </c>
      <c r="N331" s="73" t="s">
        <v>66</v>
      </c>
      <c r="O331" s="72"/>
      <c r="P331" s="72"/>
      <c r="Q331" s="11" t="e">
        <v>#N/A</v>
      </c>
    </row>
    <row r="332" s="11" customFormat="1" ht="27" hidden="1" spans="1:17">
      <c r="A332" s="20" t="s">
        <v>2029</v>
      </c>
      <c r="B332" s="21" t="s">
        <v>2030</v>
      </c>
      <c r="C332" s="20" t="str">
        <f>"661506402224300"</f>
        <v>661506402224300</v>
      </c>
      <c r="D332" s="65" t="s">
        <v>375</v>
      </c>
      <c r="E332" s="65" t="s">
        <v>2031</v>
      </c>
      <c r="F332" s="66" t="s">
        <v>2032</v>
      </c>
      <c r="G332" s="65" t="s">
        <v>60</v>
      </c>
      <c r="H332" s="66" t="s">
        <v>1187</v>
      </c>
      <c r="I332" s="66" t="s">
        <v>619</v>
      </c>
      <c r="J332" s="66" t="s">
        <v>1408</v>
      </c>
      <c r="K332" s="66" t="s">
        <v>2033</v>
      </c>
      <c r="L332" s="66" t="s">
        <v>2034</v>
      </c>
      <c r="M332" s="65">
        <v>0.6</v>
      </c>
      <c r="N332" s="73" t="s">
        <v>66</v>
      </c>
      <c r="O332" s="72"/>
      <c r="P332" s="72"/>
      <c r="Q332" s="11" t="e">
        <v>#N/A</v>
      </c>
    </row>
    <row r="333" s="9" customFormat="1" ht="27" hidden="1" spans="1:17">
      <c r="A333" s="20" t="s">
        <v>2035</v>
      </c>
      <c r="B333" s="21" t="s">
        <v>2036</v>
      </c>
      <c r="C333" s="20" t="str">
        <f>"661506402220300"</f>
        <v>661506402220300</v>
      </c>
      <c r="D333" s="65" t="s">
        <v>58</v>
      </c>
      <c r="E333" s="65" t="s">
        <v>2037</v>
      </c>
      <c r="F333" s="65" t="s">
        <v>2038</v>
      </c>
      <c r="G333" s="65" t="s">
        <v>60</v>
      </c>
      <c r="H333" s="65" t="s">
        <v>957</v>
      </c>
      <c r="I333" s="65" t="s">
        <v>1399</v>
      </c>
      <c r="J333" s="65" t="s">
        <v>128</v>
      </c>
      <c r="K333" s="65" t="s">
        <v>2039</v>
      </c>
      <c r="L333" s="65" t="s">
        <v>2040</v>
      </c>
      <c r="M333" s="65">
        <v>0.6</v>
      </c>
      <c r="N333" s="37" t="s">
        <v>66</v>
      </c>
      <c r="O333" s="37"/>
      <c r="P333" s="37"/>
      <c r="Q333" s="9" t="e">
        <v>#N/A</v>
      </c>
    </row>
    <row r="334" s="9" customFormat="1" ht="27" hidden="1" spans="1:17">
      <c r="A334" s="20" t="s">
        <v>2041</v>
      </c>
      <c r="B334" s="21" t="s">
        <v>2042</v>
      </c>
      <c r="C334" s="20" t="str">
        <f>"661506402150300"</f>
        <v>661506402150300</v>
      </c>
      <c r="D334" s="65" t="s">
        <v>58</v>
      </c>
      <c r="E334" s="65" t="s">
        <v>2043</v>
      </c>
      <c r="F334" s="65" t="s">
        <v>2044</v>
      </c>
      <c r="G334" s="65" t="s">
        <v>60</v>
      </c>
      <c r="H334" s="65" t="s">
        <v>2045</v>
      </c>
      <c r="I334" s="65" t="s">
        <v>1474</v>
      </c>
      <c r="J334" s="65" t="s">
        <v>146</v>
      </c>
      <c r="K334" s="65" t="s">
        <v>2046</v>
      </c>
      <c r="L334" s="65" t="s">
        <v>2047</v>
      </c>
      <c r="M334" s="65">
        <v>0.6</v>
      </c>
      <c r="N334" s="37" t="s">
        <v>66</v>
      </c>
      <c r="O334" s="37"/>
      <c r="P334" s="37"/>
      <c r="Q334" s="9" t="e">
        <v>#N/A</v>
      </c>
    </row>
    <row r="335" s="9" customFormat="1" ht="27" hidden="1" spans="1:17">
      <c r="A335" s="20" t="s">
        <v>2048</v>
      </c>
      <c r="B335" s="21" t="s">
        <v>2049</v>
      </c>
      <c r="C335" s="20" t="str">
        <f>"661506402148300"</f>
        <v>661506402148300</v>
      </c>
      <c r="D335" s="65" t="s">
        <v>455</v>
      </c>
      <c r="E335" s="65" t="s">
        <v>2050</v>
      </c>
      <c r="F335" s="65"/>
      <c r="G335" s="65" t="s">
        <v>60</v>
      </c>
      <c r="H335" s="65" t="s">
        <v>877</v>
      </c>
      <c r="I335" s="65" t="s">
        <v>1474</v>
      </c>
      <c r="J335" s="65" t="s">
        <v>205</v>
      </c>
      <c r="K335" s="65" t="s">
        <v>214</v>
      </c>
      <c r="L335" s="65" t="s">
        <v>215</v>
      </c>
      <c r="M335" s="65">
        <v>0.6</v>
      </c>
      <c r="N335" s="37" t="s">
        <v>66</v>
      </c>
      <c r="O335" s="37"/>
      <c r="P335" s="37"/>
      <c r="Q335" s="9" t="e">
        <v>#N/A</v>
      </c>
    </row>
    <row r="336" s="11" customFormat="1" ht="36" hidden="1" spans="1:17">
      <c r="A336" s="20" t="s">
        <v>2051</v>
      </c>
      <c r="B336" s="21" t="s">
        <v>2052</v>
      </c>
      <c r="C336" s="20" t="str">
        <f>"661506402004300"</f>
        <v>661506402004300</v>
      </c>
      <c r="D336" s="65" t="s">
        <v>58</v>
      </c>
      <c r="E336" s="65" t="s">
        <v>2053</v>
      </c>
      <c r="F336" s="66" t="s">
        <v>2054</v>
      </c>
      <c r="G336" s="65" t="s">
        <v>60</v>
      </c>
      <c r="H336" s="66" t="s">
        <v>94</v>
      </c>
      <c r="I336" s="66" t="s">
        <v>112</v>
      </c>
      <c r="J336" s="66" t="s">
        <v>2055</v>
      </c>
      <c r="K336" s="66" t="s">
        <v>2056</v>
      </c>
      <c r="L336" s="66" t="s">
        <v>2057</v>
      </c>
      <c r="M336" s="65">
        <v>0.6</v>
      </c>
      <c r="N336" s="72" t="s">
        <v>66</v>
      </c>
      <c r="O336" s="72"/>
      <c r="P336" s="72"/>
      <c r="Q336" s="11" t="e">
        <v>#N/A</v>
      </c>
    </row>
    <row r="337" s="11" customFormat="1" ht="27" hidden="1" spans="1:17">
      <c r="A337" s="20" t="s">
        <v>2058</v>
      </c>
      <c r="B337" s="21" t="s">
        <v>2059</v>
      </c>
      <c r="C337" s="20" t="str">
        <f>"661506401998300"</f>
        <v>661506401998300</v>
      </c>
      <c r="D337" s="65" t="s">
        <v>58</v>
      </c>
      <c r="E337" s="65" t="s">
        <v>2060</v>
      </c>
      <c r="F337" s="66" t="s">
        <v>2061</v>
      </c>
      <c r="G337" s="65" t="s">
        <v>60</v>
      </c>
      <c r="H337" s="66" t="s">
        <v>957</v>
      </c>
      <c r="I337" s="66" t="s">
        <v>112</v>
      </c>
      <c r="J337" s="66" t="s">
        <v>2062</v>
      </c>
      <c r="K337" s="66" t="s">
        <v>2063</v>
      </c>
      <c r="L337" s="66" t="s">
        <v>2064</v>
      </c>
      <c r="M337" s="65">
        <v>0.6</v>
      </c>
      <c r="N337" s="72" t="s">
        <v>66</v>
      </c>
      <c r="O337" s="72"/>
      <c r="P337" s="72"/>
      <c r="Q337" s="11" t="e">
        <v>#N/A</v>
      </c>
    </row>
    <row r="338" s="11" customFormat="1" ht="27" hidden="1" spans="1:17">
      <c r="A338" s="20" t="s">
        <v>2065</v>
      </c>
      <c r="B338" s="21" t="s">
        <v>2066</v>
      </c>
      <c r="C338" s="20" t="str">
        <f>"661506401926300"</f>
        <v>661506401926300</v>
      </c>
      <c r="D338" s="65" t="s">
        <v>58</v>
      </c>
      <c r="E338" s="65" t="s">
        <v>2067</v>
      </c>
      <c r="F338" s="66"/>
      <c r="G338" s="65" t="s">
        <v>60</v>
      </c>
      <c r="H338" s="66" t="s">
        <v>153</v>
      </c>
      <c r="I338" s="117" t="s">
        <v>2006</v>
      </c>
      <c r="J338" s="66" t="s">
        <v>595</v>
      </c>
      <c r="K338" s="66" t="s">
        <v>2068</v>
      </c>
      <c r="L338" s="66" t="s">
        <v>2069</v>
      </c>
      <c r="M338" s="65">
        <v>0.6</v>
      </c>
      <c r="N338" s="72" t="s">
        <v>66</v>
      </c>
      <c r="O338" s="72"/>
      <c r="P338" s="72"/>
      <c r="Q338" s="11" t="e">
        <v>#N/A</v>
      </c>
    </row>
    <row r="339" s="11" customFormat="1" ht="27" spans="1:17">
      <c r="A339" s="18" t="s">
        <v>2070</v>
      </c>
      <c r="B339" s="19" t="s">
        <v>2071</v>
      </c>
      <c r="C339" s="18" t="str">
        <f>"661506401840300"</f>
        <v>661506401840300</v>
      </c>
      <c r="D339" s="65" t="s">
        <v>58</v>
      </c>
      <c r="E339" s="65" t="s">
        <v>2072</v>
      </c>
      <c r="F339" s="66" t="s">
        <v>2073</v>
      </c>
      <c r="G339" s="65" t="s">
        <v>143</v>
      </c>
      <c r="H339" s="66" t="s">
        <v>153</v>
      </c>
      <c r="I339" s="66" t="s">
        <v>619</v>
      </c>
      <c r="J339" s="66" t="s">
        <v>551</v>
      </c>
      <c r="K339" s="66" t="s">
        <v>2074</v>
      </c>
      <c r="L339" s="66" t="s">
        <v>2075</v>
      </c>
      <c r="M339" s="65">
        <v>0.6</v>
      </c>
      <c r="N339" s="72" t="s">
        <v>66</v>
      </c>
      <c r="O339" s="72"/>
      <c r="P339" s="72"/>
      <c r="Q339" s="11" t="e">
        <v>#N/A</v>
      </c>
    </row>
    <row r="340" s="11" customFormat="1" ht="27" hidden="1" spans="1:17">
      <c r="A340" s="20" t="s">
        <v>2076</v>
      </c>
      <c r="B340" s="21" t="s">
        <v>2077</v>
      </c>
      <c r="C340" s="20" t="str">
        <f>"661506401788300"</f>
        <v>661506401788300</v>
      </c>
      <c r="D340" s="65" t="s">
        <v>58</v>
      </c>
      <c r="E340" s="65"/>
      <c r="F340" s="66"/>
      <c r="G340" s="65" t="s">
        <v>60</v>
      </c>
      <c r="H340" s="66" t="s">
        <v>256</v>
      </c>
      <c r="I340" s="117" t="s">
        <v>135</v>
      </c>
      <c r="J340" s="66" t="s">
        <v>105</v>
      </c>
      <c r="K340" s="66" t="s">
        <v>1071</v>
      </c>
      <c r="L340" s="66" t="s">
        <v>1072</v>
      </c>
      <c r="M340" s="65">
        <v>0.6</v>
      </c>
      <c r="N340" s="73" t="s">
        <v>66</v>
      </c>
      <c r="O340" s="72"/>
      <c r="P340" s="72"/>
      <c r="Q340" s="11" t="e">
        <v>#N/A</v>
      </c>
    </row>
    <row r="341" s="11" customFormat="1" ht="27" hidden="1" spans="1:17">
      <c r="A341" s="20" t="s">
        <v>2078</v>
      </c>
      <c r="B341" s="21" t="s">
        <v>2079</v>
      </c>
      <c r="C341" s="20" t="str">
        <f>"661506401786300"</f>
        <v>661506401786300</v>
      </c>
      <c r="D341" s="65" t="s">
        <v>58</v>
      </c>
      <c r="E341" s="65" t="s">
        <v>2080</v>
      </c>
      <c r="F341" s="66" t="s">
        <v>2081</v>
      </c>
      <c r="G341" s="65" t="s">
        <v>143</v>
      </c>
      <c r="H341" s="66" t="s">
        <v>174</v>
      </c>
      <c r="I341" s="66" t="s">
        <v>2082</v>
      </c>
      <c r="J341" s="66" t="s">
        <v>296</v>
      </c>
      <c r="K341" s="66" t="s">
        <v>2083</v>
      </c>
      <c r="L341" s="66" t="s">
        <v>2084</v>
      </c>
      <c r="M341" s="65">
        <v>0.6</v>
      </c>
      <c r="N341" s="72" t="s">
        <v>66</v>
      </c>
      <c r="O341" s="72"/>
      <c r="P341" s="72"/>
      <c r="Q341" s="11" t="e">
        <v>#N/A</v>
      </c>
    </row>
    <row r="342" s="9" customFormat="1" ht="27" hidden="1" spans="1:17">
      <c r="A342" s="20" t="s">
        <v>2085</v>
      </c>
      <c r="B342" s="21" t="s">
        <v>2086</v>
      </c>
      <c r="C342" s="20" t="str">
        <f>"661506401782500"</f>
        <v>661506401782500</v>
      </c>
      <c r="D342" s="65" t="s">
        <v>58</v>
      </c>
      <c r="E342" s="65" t="s">
        <v>2087</v>
      </c>
      <c r="F342" s="65" t="s">
        <v>2088</v>
      </c>
      <c r="G342" s="65" t="s">
        <v>60</v>
      </c>
      <c r="H342" s="65" t="s">
        <v>1136</v>
      </c>
      <c r="I342" s="65" t="s">
        <v>1399</v>
      </c>
      <c r="J342" s="65" t="s">
        <v>128</v>
      </c>
      <c r="K342" s="65" t="s">
        <v>263</v>
      </c>
      <c r="L342" s="65" t="s">
        <v>264</v>
      </c>
      <c r="M342" s="65">
        <v>0.6</v>
      </c>
      <c r="N342" s="37" t="s">
        <v>66</v>
      </c>
      <c r="O342" s="37"/>
      <c r="P342" s="37"/>
      <c r="Q342" s="9" t="e">
        <v>#N/A</v>
      </c>
    </row>
    <row r="343" s="9" customFormat="1" ht="27" hidden="1" spans="1:17">
      <c r="A343" s="20" t="s">
        <v>2089</v>
      </c>
      <c r="B343" s="21" t="s">
        <v>2090</v>
      </c>
      <c r="C343" s="20" t="str">
        <f>"661506401768300"</f>
        <v>661506401768300</v>
      </c>
      <c r="D343" s="65" t="s">
        <v>58</v>
      </c>
      <c r="E343" s="65" t="s">
        <v>195</v>
      </c>
      <c r="F343" s="65" t="s">
        <v>2091</v>
      </c>
      <c r="G343" s="65" t="s">
        <v>143</v>
      </c>
      <c r="H343" s="65" t="s">
        <v>2092</v>
      </c>
      <c r="I343" s="65" t="s">
        <v>1399</v>
      </c>
      <c r="J343" s="65" t="s">
        <v>146</v>
      </c>
      <c r="K343" s="65" t="s">
        <v>2093</v>
      </c>
      <c r="L343" s="65" t="s">
        <v>2094</v>
      </c>
      <c r="M343" s="65">
        <v>0.6</v>
      </c>
      <c r="N343" s="37" t="s">
        <v>66</v>
      </c>
      <c r="O343" s="37"/>
      <c r="P343" s="37"/>
      <c r="Q343" s="9" t="e">
        <v>#N/A</v>
      </c>
    </row>
    <row r="344" s="9" customFormat="1" ht="27" hidden="1" spans="1:17">
      <c r="A344" s="20" t="s">
        <v>2095</v>
      </c>
      <c r="B344" s="21" t="s">
        <v>2096</v>
      </c>
      <c r="C344" s="20" t="str">
        <f>"661506401764300"</f>
        <v>661506401764300</v>
      </c>
      <c r="D344" s="65" t="s">
        <v>58</v>
      </c>
      <c r="E344" s="65" t="s">
        <v>2097</v>
      </c>
      <c r="F344" s="65"/>
      <c r="G344" s="65" t="s">
        <v>60</v>
      </c>
      <c r="H344" s="65" t="s">
        <v>126</v>
      </c>
      <c r="I344" s="115" t="s">
        <v>190</v>
      </c>
      <c r="J344" s="65" t="s">
        <v>136</v>
      </c>
      <c r="K344" s="65" t="s">
        <v>1588</v>
      </c>
      <c r="L344" s="65" t="s">
        <v>1589</v>
      </c>
      <c r="M344" s="65">
        <v>0.6</v>
      </c>
      <c r="N344" s="37" t="s">
        <v>66</v>
      </c>
      <c r="O344" s="37"/>
      <c r="P344" s="37"/>
      <c r="Q344" s="9" t="e">
        <v>#N/A</v>
      </c>
    </row>
    <row r="345" s="10" customFormat="1" ht="27" hidden="1" spans="1:17">
      <c r="A345" s="20" t="s">
        <v>2098</v>
      </c>
      <c r="B345" s="21" t="s">
        <v>2099</v>
      </c>
      <c r="C345" s="20" t="str">
        <f>"661506401526200"</f>
        <v>661506401526200</v>
      </c>
      <c r="D345" s="26" t="s">
        <v>58</v>
      </c>
      <c r="E345" s="26" t="s">
        <v>2100</v>
      </c>
      <c r="F345" s="26"/>
      <c r="G345" s="26" t="s">
        <v>60</v>
      </c>
      <c r="H345" s="26" t="s">
        <v>2101</v>
      </c>
      <c r="I345" s="26" t="s">
        <v>1399</v>
      </c>
      <c r="J345" s="26" t="s">
        <v>682</v>
      </c>
      <c r="K345" s="26" t="s">
        <v>2102</v>
      </c>
      <c r="L345" s="26" t="s">
        <v>2103</v>
      </c>
      <c r="M345" s="26">
        <v>0.6</v>
      </c>
      <c r="N345" s="70" t="s">
        <v>66</v>
      </c>
      <c r="O345" s="68"/>
      <c r="P345" s="70"/>
      <c r="Q345" s="10" t="e">
        <v>#N/A</v>
      </c>
    </row>
    <row r="346" s="9" customFormat="1" ht="27" hidden="1" spans="1:17">
      <c r="A346" s="20" t="s">
        <v>2104</v>
      </c>
      <c r="B346" s="21" t="s">
        <v>2105</v>
      </c>
      <c r="C346" s="20" t="str">
        <f>"661506401386300"</f>
        <v>661506401386300</v>
      </c>
      <c r="D346" s="65" t="s">
        <v>58</v>
      </c>
      <c r="E346" s="65" t="s">
        <v>2106</v>
      </c>
      <c r="F346" s="65"/>
      <c r="G346" s="65" t="s">
        <v>60</v>
      </c>
      <c r="H346" s="65" t="s">
        <v>317</v>
      </c>
      <c r="I346" s="65" t="s">
        <v>1468</v>
      </c>
      <c r="J346" s="65" t="s">
        <v>80</v>
      </c>
      <c r="K346" s="65" t="s">
        <v>2107</v>
      </c>
      <c r="L346" s="65" t="s">
        <v>2108</v>
      </c>
      <c r="M346" s="65">
        <v>0.6</v>
      </c>
      <c r="N346" s="37" t="s">
        <v>66</v>
      </c>
      <c r="O346" s="37"/>
      <c r="P346" s="37"/>
      <c r="Q346" s="9" t="e">
        <v>#N/A</v>
      </c>
    </row>
    <row r="347" s="10" customFormat="1" ht="72" hidden="1" spans="1:17">
      <c r="A347" s="20" t="s">
        <v>2109</v>
      </c>
      <c r="B347" s="21" t="s">
        <v>2110</v>
      </c>
      <c r="C347" s="20" t="str">
        <f>"661506401382700"</f>
        <v>661506401382700</v>
      </c>
      <c r="D347" s="26" t="s">
        <v>464</v>
      </c>
      <c r="E347" s="26" t="s">
        <v>2111</v>
      </c>
      <c r="F347" s="26"/>
      <c r="G347" s="26" t="s">
        <v>60</v>
      </c>
      <c r="H347" s="26" t="s">
        <v>486</v>
      </c>
      <c r="I347" s="26" t="s">
        <v>1391</v>
      </c>
      <c r="J347" s="26" t="s">
        <v>128</v>
      </c>
      <c r="K347" s="26" t="s">
        <v>263</v>
      </c>
      <c r="L347" s="26" t="s">
        <v>264</v>
      </c>
      <c r="M347" s="26">
        <v>0.6</v>
      </c>
      <c r="N347" s="68" t="s">
        <v>116</v>
      </c>
      <c r="O347" s="68" t="s">
        <v>2112</v>
      </c>
      <c r="P347" s="68"/>
      <c r="Q347" s="10" t="e">
        <v>#N/A</v>
      </c>
    </row>
    <row r="348" s="9" customFormat="1" ht="27" hidden="1" spans="1:17">
      <c r="A348" s="20" t="s">
        <v>2113</v>
      </c>
      <c r="B348" s="21" t="s">
        <v>2114</v>
      </c>
      <c r="C348" s="20" t="str">
        <f>"661506401366000"</f>
        <v>661506401366000</v>
      </c>
      <c r="D348" s="65" t="s">
        <v>58</v>
      </c>
      <c r="E348" s="65" t="s">
        <v>2115</v>
      </c>
      <c r="F348" s="65"/>
      <c r="G348" s="65" t="s">
        <v>143</v>
      </c>
      <c r="H348" s="65" t="s">
        <v>358</v>
      </c>
      <c r="I348" s="65" t="s">
        <v>1399</v>
      </c>
      <c r="J348" s="65" t="s">
        <v>221</v>
      </c>
      <c r="K348" s="65" t="s">
        <v>2116</v>
      </c>
      <c r="L348" s="65" t="s">
        <v>2117</v>
      </c>
      <c r="M348" s="65">
        <v>0.6</v>
      </c>
      <c r="N348" s="37" t="s">
        <v>66</v>
      </c>
      <c r="O348" s="37"/>
      <c r="P348" s="37"/>
      <c r="Q348" s="9" t="e">
        <v>#N/A</v>
      </c>
    </row>
    <row r="349" s="9" customFormat="1" ht="27" hidden="1" spans="1:17">
      <c r="A349" s="20" t="s">
        <v>2118</v>
      </c>
      <c r="B349" s="21" t="s">
        <v>2119</v>
      </c>
      <c r="C349" s="20" t="str">
        <f>"661506401359100"</f>
        <v>661506401359100</v>
      </c>
      <c r="D349" s="65" t="s">
        <v>58</v>
      </c>
      <c r="E349" s="65"/>
      <c r="F349" s="65"/>
      <c r="G349" s="65" t="s">
        <v>60</v>
      </c>
      <c r="H349" s="65" t="s">
        <v>126</v>
      </c>
      <c r="I349" s="115" t="s">
        <v>478</v>
      </c>
      <c r="J349" s="65" t="s">
        <v>128</v>
      </c>
      <c r="K349" s="65" t="s">
        <v>2120</v>
      </c>
      <c r="L349" s="65" t="s">
        <v>2121</v>
      </c>
      <c r="M349" s="65">
        <v>0.6</v>
      </c>
      <c r="N349" s="37" t="s">
        <v>66</v>
      </c>
      <c r="O349" s="37"/>
      <c r="P349" s="37"/>
      <c r="Q349" s="9" t="e">
        <v>#N/A</v>
      </c>
    </row>
    <row r="350" s="9" customFormat="1" ht="27" hidden="1" spans="1:17">
      <c r="A350" s="20" t="s">
        <v>2122</v>
      </c>
      <c r="B350" s="21" t="s">
        <v>2123</v>
      </c>
      <c r="C350" s="20" t="str">
        <f>"661506401345000"</f>
        <v>661506401345000</v>
      </c>
      <c r="D350" s="65" t="s">
        <v>58</v>
      </c>
      <c r="E350" s="65" t="s">
        <v>2124</v>
      </c>
      <c r="F350" s="65"/>
      <c r="G350" s="65" t="s">
        <v>60</v>
      </c>
      <c r="H350" s="65" t="s">
        <v>256</v>
      </c>
      <c r="I350" s="116" t="s">
        <v>160</v>
      </c>
      <c r="J350" s="65" t="s">
        <v>128</v>
      </c>
      <c r="K350" s="65" t="s">
        <v>2125</v>
      </c>
      <c r="L350" s="65" t="s">
        <v>2126</v>
      </c>
      <c r="M350" s="65">
        <v>0.6</v>
      </c>
      <c r="N350" s="37" t="s">
        <v>66</v>
      </c>
      <c r="O350" s="37"/>
      <c r="P350" s="37"/>
      <c r="Q350" s="9" t="e">
        <v>#N/A</v>
      </c>
    </row>
    <row r="351" s="9" customFormat="1" ht="24" hidden="1" spans="1:17">
      <c r="A351" s="65" t="s">
        <v>2127</v>
      </c>
      <c r="B351" s="75" t="s">
        <v>2128</v>
      </c>
      <c r="C351" s="65" t="str">
        <f>"661506401343100"</f>
        <v>661506401343100</v>
      </c>
      <c r="D351" s="65" t="s">
        <v>58</v>
      </c>
      <c r="E351" s="65" t="s">
        <v>2129</v>
      </c>
      <c r="F351" s="65"/>
      <c r="G351" s="65" t="s">
        <v>60</v>
      </c>
      <c r="H351" s="65" t="s">
        <v>831</v>
      </c>
      <c r="I351" s="65" t="s">
        <v>1474</v>
      </c>
      <c r="J351" s="65" t="s">
        <v>105</v>
      </c>
      <c r="K351" s="65" t="s">
        <v>1071</v>
      </c>
      <c r="L351" s="65" t="s">
        <v>1072</v>
      </c>
      <c r="M351" s="65">
        <v>0.6</v>
      </c>
      <c r="N351" s="37" t="s">
        <v>66</v>
      </c>
      <c r="O351" s="37"/>
      <c r="P351" s="37"/>
      <c r="Q351" s="9" t="e">
        <v>#N/A</v>
      </c>
    </row>
    <row r="352" s="10" customFormat="1" ht="24" hidden="1" spans="1:17">
      <c r="A352" s="26" t="s">
        <v>2130</v>
      </c>
      <c r="B352" s="76" t="s">
        <v>2131</v>
      </c>
      <c r="C352" s="26" t="str">
        <f>"661506401322200"</f>
        <v>661506401322200</v>
      </c>
      <c r="D352" s="26" t="s">
        <v>58</v>
      </c>
      <c r="E352" s="26" t="s">
        <v>2132</v>
      </c>
      <c r="F352" s="26"/>
      <c r="G352" s="26" t="s">
        <v>60</v>
      </c>
      <c r="H352" s="26" t="s">
        <v>1136</v>
      </c>
      <c r="I352" s="118" t="s">
        <v>2133</v>
      </c>
      <c r="J352" s="26" t="s">
        <v>1316</v>
      </c>
      <c r="K352" s="26" t="s">
        <v>2134</v>
      </c>
      <c r="L352" s="26" t="s">
        <v>2135</v>
      </c>
      <c r="M352" s="26">
        <v>0.6</v>
      </c>
      <c r="N352" s="70" t="s">
        <v>66</v>
      </c>
      <c r="O352" s="68"/>
      <c r="P352" s="68"/>
      <c r="Q352" s="10" t="e">
        <v>#N/A</v>
      </c>
    </row>
    <row r="353" s="9" customFormat="1" ht="24" hidden="1" spans="1:17">
      <c r="A353" s="65" t="s">
        <v>2136</v>
      </c>
      <c r="B353" s="75" t="s">
        <v>2137</v>
      </c>
      <c r="C353" s="65" t="str">
        <f>"661506401293100"</f>
        <v>661506401293100</v>
      </c>
      <c r="D353" s="65" t="s">
        <v>58</v>
      </c>
      <c r="E353" s="65" t="s">
        <v>2138</v>
      </c>
      <c r="F353" s="65" t="s">
        <v>2139</v>
      </c>
      <c r="G353" s="65" t="s">
        <v>60</v>
      </c>
      <c r="H353" s="65" t="s">
        <v>270</v>
      </c>
      <c r="I353" s="65" t="s">
        <v>112</v>
      </c>
      <c r="J353" s="65" t="s">
        <v>221</v>
      </c>
      <c r="K353" s="65" t="s">
        <v>2140</v>
      </c>
      <c r="L353" s="65" t="s">
        <v>2141</v>
      </c>
      <c r="M353" s="65">
        <v>0.6</v>
      </c>
      <c r="N353" s="37" t="s">
        <v>66</v>
      </c>
      <c r="O353" s="37"/>
      <c r="P353" s="37"/>
      <c r="Q353" s="9" t="e">
        <v>#N/A</v>
      </c>
    </row>
    <row r="354" s="10" customFormat="1" ht="24" hidden="1" spans="1:17">
      <c r="A354" s="65" t="s">
        <v>2142</v>
      </c>
      <c r="B354" s="75" t="s">
        <v>2143</v>
      </c>
      <c r="C354" s="65" t="str">
        <f>"661506401250200"</f>
        <v>661506401250200</v>
      </c>
      <c r="D354" s="26" t="s">
        <v>58</v>
      </c>
      <c r="E354" s="26" t="s">
        <v>2144</v>
      </c>
      <c r="F354" s="26"/>
      <c r="G354" s="26" t="s">
        <v>60</v>
      </c>
      <c r="H354" s="26" t="s">
        <v>2145</v>
      </c>
      <c r="I354" s="26" t="s">
        <v>1399</v>
      </c>
      <c r="J354" s="26" t="s">
        <v>80</v>
      </c>
      <c r="K354" s="26" t="s">
        <v>169</v>
      </c>
      <c r="L354" s="26" t="s">
        <v>170</v>
      </c>
      <c r="M354" s="26">
        <v>0.6</v>
      </c>
      <c r="N354" s="37" t="s">
        <v>2017</v>
      </c>
      <c r="O354" s="37"/>
      <c r="P354" s="37"/>
      <c r="Q354" s="10" t="e">
        <v>#N/A</v>
      </c>
    </row>
    <row r="355" s="9" customFormat="1" ht="24" hidden="1" spans="1:17">
      <c r="A355" s="65" t="s">
        <v>2146</v>
      </c>
      <c r="B355" s="75" t="s">
        <v>2147</v>
      </c>
      <c r="C355" s="65" t="str">
        <f>"661506401196200"</f>
        <v>661506401196200</v>
      </c>
      <c r="D355" s="65" t="s">
        <v>58</v>
      </c>
      <c r="E355" s="65" t="s">
        <v>2148</v>
      </c>
      <c r="F355" s="65" t="s">
        <v>2149</v>
      </c>
      <c r="G355" s="65" t="s">
        <v>60</v>
      </c>
      <c r="H355" s="65" t="s">
        <v>2150</v>
      </c>
      <c r="I355" s="65" t="s">
        <v>2151</v>
      </c>
      <c r="J355" s="65" t="s">
        <v>2152</v>
      </c>
      <c r="K355" s="65" t="s">
        <v>2153</v>
      </c>
      <c r="L355" s="65" t="s">
        <v>2154</v>
      </c>
      <c r="M355" s="65">
        <v>0.6</v>
      </c>
      <c r="N355" s="37" t="s">
        <v>66</v>
      </c>
      <c r="O355" s="37"/>
      <c r="P355" s="37"/>
      <c r="Q355" s="9" t="e">
        <v>#N/A</v>
      </c>
    </row>
    <row r="356" s="11" customFormat="1" ht="24" spans="1:17">
      <c r="A356" s="64" t="s">
        <v>2155</v>
      </c>
      <c r="B356" s="76" t="s">
        <v>2156</v>
      </c>
      <c r="C356" s="64" t="str">
        <f>"661506401161100"</f>
        <v>661506401161100</v>
      </c>
      <c r="D356" s="65" t="s">
        <v>455</v>
      </c>
      <c r="E356" s="65" t="s">
        <v>2157</v>
      </c>
      <c r="F356" s="66" t="s">
        <v>2158</v>
      </c>
      <c r="G356" s="65" t="s">
        <v>60</v>
      </c>
      <c r="H356" s="66" t="s">
        <v>600</v>
      </c>
      <c r="I356" s="117" t="s">
        <v>2159</v>
      </c>
      <c r="J356" s="66" t="s">
        <v>128</v>
      </c>
      <c r="K356" s="66" t="s">
        <v>2160</v>
      </c>
      <c r="L356" s="66" t="s">
        <v>2161</v>
      </c>
      <c r="M356" s="65">
        <v>0.6</v>
      </c>
      <c r="N356" s="72" t="s">
        <v>66</v>
      </c>
      <c r="O356" s="72"/>
      <c r="P356" s="72"/>
      <c r="Q356" s="11" t="e">
        <v>#N/A</v>
      </c>
    </row>
    <row r="357" s="10" customFormat="1" ht="31" customHeight="1" spans="1:17">
      <c r="A357" s="64" t="s">
        <v>2162</v>
      </c>
      <c r="B357" s="76" t="s">
        <v>2163</v>
      </c>
      <c r="C357" s="64" t="str">
        <f>"661506401144200"</f>
        <v>661506401144200</v>
      </c>
      <c r="D357" s="26" t="s">
        <v>292</v>
      </c>
      <c r="E357" s="26" t="s">
        <v>2164</v>
      </c>
      <c r="F357" s="26"/>
      <c r="G357" s="26" t="s">
        <v>143</v>
      </c>
      <c r="H357" s="26" t="s">
        <v>2165</v>
      </c>
      <c r="I357" s="26"/>
      <c r="J357" s="26" t="s">
        <v>228</v>
      </c>
      <c r="K357" s="26" t="s">
        <v>2166</v>
      </c>
      <c r="L357" s="26" t="s">
        <v>2167</v>
      </c>
      <c r="M357" s="26">
        <v>0.6</v>
      </c>
      <c r="N357" s="70" t="s">
        <v>66</v>
      </c>
      <c r="O357" s="68"/>
      <c r="P357" s="68"/>
      <c r="Q357" s="10" t="e">
        <v>#N/A</v>
      </c>
    </row>
    <row r="358" s="11" customFormat="1" ht="36" hidden="1" spans="1:17">
      <c r="A358" s="66" t="s">
        <v>2168</v>
      </c>
      <c r="B358" s="75" t="s">
        <v>2169</v>
      </c>
      <c r="C358" s="66" t="str">
        <f>"661506401058300"</f>
        <v>661506401058300</v>
      </c>
      <c r="D358" s="65" t="s">
        <v>532</v>
      </c>
      <c r="E358" s="65" t="s">
        <v>2170</v>
      </c>
      <c r="F358" s="66" t="s">
        <v>2171</v>
      </c>
      <c r="G358" s="65" t="s">
        <v>60</v>
      </c>
      <c r="H358" s="66" t="s">
        <v>812</v>
      </c>
      <c r="I358" s="117" t="s">
        <v>2172</v>
      </c>
      <c r="J358" s="66" t="s">
        <v>2173</v>
      </c>
      <c r="K358" s="66" t="s">
        <v>2174</v>
      </c>
      <c r="L358" s="66" t="s">
        <v>2175</v>
      </c>
      <c r="M358" s="65">
        <v>0.6</v>
      </c>
      <c r="N358" s="72" t="s">
        <v>66</v>
      </c>
      <c r="O358" s="72"/>
      <c r="P358" s="72"/>
      <c r="Q358" s="11" t="e">
        <v>#N/A</v>
      </c>
    </row>
    <row r="359" s="9" customFormat="1" ht="24" hidden="1" spans="1:17">
      <c r="A359" s="66" t="s">
        <v>2176</v>
      </c>
      <c r="B359" s="75" t="s">
        <v>2177</v>
      </c>
      <c r="C359" s="66" t="str">
        <f>"661506401038200"</f>
        <v>661506401038200</v>
      </c>
      <c r="D359" s="65" t="s">
        <v>58</v>
      </c>
      <c r="E359" s="65" t="s">
        <v>2178</v>
      </c>
      <c r="F359" s="65" t="s">
        <v>2179</v>
      </c>
      <c r="G359" s="65" t="s">
        <v>60</v>
      </c>
      <c r="H359" s="65" t="s">
        <v>153</v>
      </c>
      <c r="I359" s="116" t="s">
        <v>2180</v>
      </c>
      <c r="J359" s="65" t="s">
        <v>631</v>
      </c>
      <c r="K359" s="65" t="s">
        <v>2181</v>
      </c>
      <c r="L359" s="65" t="s">
        <v>2182</v>
      </c>
      <c r="M359" s="65">
        <v>0.6</v>
      </c>
      <c r="N359" s="37" t="s">
        <v>66</v>
      </c>
      <c r="O359" s="37"/>
      <c r="P359" s="37"/>
      <c r="Q359" s="9" t="e">
        <v>#N/A</v>
      </c>
    </row>
    <row r="360" s="9" customFormat="1" ht="36" hidden="1" spans="1:17">
      <c r="A360" s="65" t="s">
        <v>2183</v>
      </c>
      <c r="B360" s="75" t="s">
        <v>2184</v>
      </c>
      <c r="C360" s="65" t="str">
        <f>"661506400970200"</f>
        <v>661506400970200</v>
      </c>
      <c r="D360" s="65" t="s">
        <v>58</v>
      </c>
      <c r="E360" s="65" t="s">
        <v>2185</v>
      </c>
      <c r="F360" s="65"/>
      <c r="G360" s="65" t="s">
        <v>60</v>
      </c>
      <c r="H360" s="65" t="s">
        <v>120</v>
      </c>
      <c r="I360" s="65"/>
      <c r="J360" s="65" t="s">
        <v>176</v>
      </c>
      <c r="K360" s="65" t="s">
        <v>2186</v>
      </c>
      <c r="L360" s="65" t="s">
        <v>2187</v>
      </c>
      <c r="M360" s="65">
        <v>0.6</v>
      </c>
      <c r="N360" s="37" t="s">
        <v>66</v>
      </c>
      <c r="O360" s="37"/>
      <c r="P360" s="37"/>
      <c r="Q360" s="9" t="e">
        <v>#N/A</v>
      </c>
    </row>
    <row r="361" s="11" customFormat="1" ht="24" hidden="1" spans="1:17">
      <c r="A361" s="66" t="s">
        <v>2188</v>
      </c>
      <c r="B361" s="75" t="s">
        <v>2189</v>
      </c>
      <c r="C361" s="66" t="str">
        <f>"661506400935000"</f>
        <v>661506400935000</v>
      </c>
      <c r="D361" s="65" t="s">
        <v>1048</v>
      </c>
      <c r="E361" s="65" t="s">
        <v>2190</v>
      </c>
      <c r="F361" s="66" t="s">
        <v>2191</v>
      </c>
      <c r="G361" s="65" t="s">
        <v>60</v>
      </c>
      <c r="H361" s="66" t="s">
        <v>153</v>
      </c>
      <c r="I361" s="66" t="s">
        <v>135</v>
      </c>
      <c r="J361" s="66" t="s">
        <v>595</v>
      </c>
      <c r="K361" s="66" t="s">
        <v>2192</v>
      </c>
      <c r="L361" s="66" t="s">
        <v>2193</v>
      </c>
      <c r="M361" s="65">
        <v>0.6</v>
      </c>
      <c r="N361" s="73" t="s">
        <v>66</v>
      </c>
      <c r="O361" s="72"/>
      <c r="P361" s="72"/>
      <c r="Q361" s="11" t="e">
        <v>#N/A</v>
      </c>
    </row>
    <row r="362" s="11" customFormat="1" ht="24" hidden="1" spans="1:17">
      <c r="A362" s="65" t="s">
        <v>2194</v>
      </c>
      <c r="B362" s="75" t="s">
        <v>2195</v>
      </c>
      <c r="C362" s="65" t="str">
        <f>"661506400864500"</f>
        <v>661506400864500</v>
      </c>
      <c r="D362" s="65" t="s">
        <v>532</v>
      </c>
      <c r="E362" s="65" t="s">
        <v>2132</v>
      </c>
      <c r="F362" s="66" t="s">
        <v>2196</v>
      </c>
      <c r="G362" s="65" t="s">
        <v>60</v>
      </c>
      <c r="H362" s="66" t="s">
        <v>167</v>
      </c>
      <c r="I362" s="66" t="s">
        <v>832</v>
      </c>
      <c r="J362" s="66" t="s">
        <v>1668</v>
      </c>
      <c r="K362" s="66" t="s">
        <v>2197</v>
      </c>
      <c r="L362" s="66" t="s">
        <v>2198</v>
      </c>
      <c r="M362" s="65">
        <v>0.6</v>
      </c>
      <c r="N362" s="72" t="s">
        <v>66</v>
      </c>
      <c r="O362" s="72"/>
      <c r="P362" s="72"/>
      <c r="Q362" s="11" t="e">
        <v>#N/A</v>
      </c>
    </row>
    <row r="363" s="9" customFormat="1" ht="24" hidden="1" spans="1:17">
      <c r="A363" s="65" t="s">
        <v>2199</v>
      </c>
      <c r="B363" s="75" t="s">
        <v>2200</v>
      </c>
      <c r="C363" s="65" t="str">
        <f>"661506400860200"</f>
        <v>661506400860200</v>
      </c>
      <c r="D363" s="65" t="s">
        <v>58</v>
      </c>
      <c r="E363" s="65" t="s">
        <v>2201</v>
      </c>
      <c r="F363" s="65" t="s">
        <v>2202</v>
      </c>
      <c r="G363" s="65" t="s">
        <v>60</v>
      </c>
      <c r="H363" s="65" t="s">
        <v>153</v>
      </c>
      <c r="I363" s="65" t="s">
        <v>1348</v>
      </c>
      <c r="J363" s="65" t="s">
        <v>191</v>
      </c>
      <c r="K363" s="65" t="s">
        <v>2203</v>
      </c>
      <c r="L363" s="65" t="s">
        <v>2204</v>
      </c>
      <c r="M363" s="65">
        <v>0.6</v>
      </c>
      <c r="N363" s="37" t="s">
        <v>66</v>
      </c>
      <c r="O363" s="37"/>
      <c r="P363" s="37"/>
      <c r="Q363" s="9" t="e">
        <v>#N/A</v>
      </c>
    </row>
    <row r="364" s="9" customFormat="1" ht="24" hidden="1" spans="1:17">
      <c r="A364" s="66" t="s">
        <v>2205</v>
      </c>
      <c r="B364" s="75" t="s">
        <v>2206</v>
      </c>
      <c r="C364" s="66" t="str">
        <f>"661506400850600"</f>
        <v>661506400850600</v>
      </c>
      <c r="D364" s="65" t="s">
        <v>58</v>
      </c>
      <c r="E364" s="65" t="s">
        <v>2207</v>
      </c>
      <c r="F364" s="65" t="s">
        <v>2208</v>
      </c>
      <c r="G364" s="65" t="s">
        <v>60</v>
      </c>
      <c r="H364" s="65" t="s">
        <v>153</v>
      </c>
      <c r="I364" s="65"/>
      <c r="J364" s="65" t="s">
        <v>128</v>
      </c>
      <c r="K364" s="65" t="s">
        <v>2209</v>
      </c>
      <c r="L364" s="65" t="s">
        <v>2210</v>
      </c>
      <c r="M364" s="65">
        <v>0.6</v>
      </c>
      <c r="N364" s="37" t="s">
        <v>66</v>
      </c>
      <c r="O364" s="37"/>
      <c r="P364" s="37"/>
      <c r="Q364" s="9" t="e">
        <v>#N/A</v>
      </c>
    </row>
    <row r="365" s="9" customFormat="1" ht="24" hidden="1" spans="1:17">
      <c r="A365" s="66" t="s">
        <v>2211</v>
      </c>
      <c r="B365" s="75" t="s">
        <v>2212</v>
      </c>
      <c r="C365" s="66" t="str">
        <f>"661506400849700"</f>
        <v>661506400849700</v>
      </c>
      <c r="D365" s="65" t="s">
        <v>58</v>
      </c>
      <c r="E365" s="65" t="s">
        <v>2213</v>
      </c>
      <c r="F365" s="65"/>
      <c r="G365" s="65" t="s">
        <v>60</v>
      </c>
      <c r="H365" s="65" t="s">
        <v>153</v>
      </c>
      <c r="I365" s="65" t="s">
        <v>1391</v>
      </c>
      <c r="J365" s="65" t="s">
        <v>128</v>
      </c>
      <c r="K365" s="65" t="s">
        <v>2214</v>
      </c>
      <c r="L365" s="65" t="s">
        <v>2215</v>
      </c>
      <c r="M365" s="65">
        <v>0.6</v>
      </c>
      <c r="N365" s="37" t="s">
        <v>66</v>
      </c>
      <c r="O365" s="37"/>
      <c r="P365" s="37"/>
      <c r="Q365" s="9" t="e">
        <v>#N/A</v>
      </c>
    </row>
    <row r="366" s="11" customFormat="1" ht="24" hidden="1" spans="1:17">
      <c r="A366" s="66" t="s">
        <v>2216</v>
      </c>
      <c r="B366" s="75" t="s">
        <v>2217</v>
      </c>
      <c r="C366" s="66" t="str">
        <f>"661506400826300"</f>
        <v>661506400826300</v>
      </c>
      <c r="D366" s="66" t="s">
        <v>58</v>
      </c>
      <c r="E366" s="66" t="s">
        <v>796</v>
      </c>
      <c r="F366" s="66" t="s">
        <v>2218</v>
      </c>
      <c r="G366" s="66" t="s">
        <v>60</v>
      </c>
      <c r="H366" s="66" t="s">
        <v>153</v>
      </c>
      <c r="I366" s="66" t="s">
        <v>2219</v>
      </c>
      <c r="J366" s="66" t="s">
        <v>2220</v>
      </c>
      <c r="K366" s="66" t="s">
        <v>2221</v>
      </c>
      <c r="L366" s="66" t="s">
        <v>2222</v>
      </c>
      <c r="M366" s="66">
        <v>0.6</v>
      </c>
      <c r="N366" s="73" t="s">
        <v>66</v>
      </c>
      <c r="O366" s="72"/>
      <c r="P366" s="72"/>
      <c r="Q366" s="11" t="e">
        <v>#N/A</v>
      </c>
    </row>
    <row r="367" s="11" customFormat="1" ht="24" hidden="1" spans="1:17">
      <c r="A367" s="26" t="s">
        <v>2223</v>
      </c>
      <c r="B367" s="76" t="s">
        <v>2224</v>
      </c>
      <c r="C367" s="26" t="str">
        <f>"661506400822200"</f>
        <v>661506400822200</v>
      </c>
      <c r="D367" s="66" t="s">
        <v>58</v>
      </c>
      <c r="E367" s="66" t="s">
        <v>2225</v>
      </c>
      <c r="F367" s="66" t="s">
        <v>2226</v>
      </c>
      <c r="G367" s="66" t="s">
        <v>60</v>
      </c>
      <c r="H367" s="66" t="s">
        <v>234</v>
      </c>
      <c r="I367" s="117" t="s">
        <v>88</v>
      </c>
      <c r="J367" s="66" t="s">
        <v>228</v>
      </c>
      <c r="K367" s="66" t="s">
        <v>2227</v>
      </c>
      <c r="L367" s="66" t="s">
        <v>2228</v>
      </c>
      <c r="M367" s="66">
        <v>0.6</v>
      </c>
      <c r="N367" s="72" t="s">
        <v>66</v>
      </c>
      <c r="O367" s="72"/>
      <c r="P367" s="72"/>
      <c r="Q367" s="11" t="e">
        <v>#N/A</v>
      </c>
    </row>
    <row r="368" s="11" customFormat="1" ht="24" hidden="1" spans="1:17">
      <c r="A368" s="26" t="s">
        <v>2229</v>
      </c>
      <c r="B368" s="76" t="s">
        <v>2230</v>
      </c>
      <c r="C368" s="26" t="str">
        <f>"661506400756200"</f>
        <v>661506400756200</v>
      </c>
      <c r="D368" s="66" t="s">
        <v>58</v>
      </c>
      <c r="E368" s="66" t="s">
        <v>2231</v>
      </c>
      <c r="F368" s="66"/>
      <c r="G368" s="66" t="s">
        <v>60</v>
      </c>
      <c r="H368" s="66" t="s">
        <v>153</v>
      </c>
      <c r="I368" s="117" t="s">
        <v>619</v>
      </c>
      <c r="J368" s="66" t="s">
        <v>1316</v>
      </c>
      <c r="K368" s="66" t="s">
        <v>2232</v>
      </c>
      <c r="L368" s="66" t="s">
        <v>2233</v>
      </c>
      <c r="M368" s="66">
        <v>0.6</v>
      </c>
      <c r="N368" s="72" t="s">
        <v>66</v>
      </c>
      <c r="O368" s="72"/>
      <c r="P368" s="72"/>
      <c r="Q368" s="11" t="e">
        <v>#N/A</v>
      </c>
    </row>
    <row r="369" s="11" customFormat="1" ht="24" hidden="1" spans="1:17">
      <c r="A369" s="66" t="s">
        <v>2234</v>
      </c>
      <c r="B369" s="75" t="s">
        <v>2235</v>
      </c>
      <c r="C369" s="66" t="str">
        <f>"661506400732200"</f>
        <v>661506400732200</v>
      </c>
      <c r="D369" s="65" t="s">
        <v>58</v>
      </c>
      <c r="E369" s="65" t="s">
        <v>2236</v>
      </c>
      <c r="F369" s="66" t="s">
        <v>2237</v>
      </c>
      <c r="G369" s="65" t="s">
        <v>60</v>
      </c>
      <c r="H369" s="66" t="s">
        <v>234</v>
      </c>
      <c r="I369" s="66" t="s">
        <v>832</v>
      </c>
      <c r="J369" s="66" t="s">
        <v>2238</v>
      </c>
      <c r="K369" s="66" t="s">
        <v>2239</v>
      </c>
      <c r="L369" s="66" t="s">
        <v>2240</v>
      </c>
      <c r="M369" s="65">
        <v>0.6</v>
      </c>
      <c r="N369" s="73" t="s">
        <v>66</v>
      </c>
      <c r="O369" s="72"/>
      <c r="P369" s="72"/>
      <c r="Q369" s="11" t="e">
        <v>#N/A</v>
      </c>
    </row>
    <row r="370" s="11" customFormat="1" ht="24" hidden="1" spans="1:17">
      <c r="A370" s="65" t="s">
        <v>2241</v>
      </c>
      <c r="B370" s="75" t="s">
        <v>2242</v>
      </c>
      <c r="C370" s="65" t="str">
        <f>"661506400727500"</f>
        <v>661506400727500</v>
      </c>
      <c r="D370" s="65" t="s">
        <v>58</v>
      </c>
      <c r="E370" s="65" t="s">
        <v>2243</v>
      </c>
      <c r="F370" s="66" t="s">
        <v>2244</v>
      </c>
      <c r="G370" s="65" t="s">
        <v>60</v>
      </c>
      <c r="H370" s="66" t="s">
        <v>378</v>
      </c>
      <c r="I370" s="117" t="s">
        <v>112</v>
      </c>
      <c r="J370" s="66" t="s">
        <v>1979</v>
      </c>
      <c r="K370" s="66" t="s">
        <v>2245</v>
      </c>
      <c r="L370" s="66" t="s">
        <v>2246</v>
      </c>
      <c r="M370" s="65">
        <v>0.6</v>
      </c>
      <c r="N370" s="72" t="s">
        <v>66</v>
      </c>
      <c r="O370" s="72"/>
      <c r="P370" s="72"/>
      <c r="Q370" s="11" t="e">
        <v>#N/A</v>
      </c>
    </row>
    <row r="371" s="9" customFormat="1" ht="24" hidden="1" spans="1:17">
      <c r="A371" s="66" t="s">
        <v>2247</v>
      </c>
      <c r="B371" s="75" t="s">
        <v>2248</v>
      </c>
      <c r="C371" s="66" t="str">
        <f>"661506400686200"</f>
        <v>661506400686200</v>
      </c>
      <c r="D371" s="65" t="s">
        <v>580</v>
      </c>
      <c r="E371" s="65" t="s">
        <v>2249</v>
      </c>
      <c r="F371" s="65" t="s">
        <v>2250</v>
      </c>
      <c r="G371" s="65" t="s">
        <v>60</v>
      </c>
      <c r="H371" s="65" t="s">
        <v>310</v>
      </c>
      <c r="I371" s="116" t="s">
        <v>1052</v>
      </c>
      <c r="J371" s="65" t="s">
        <v>176</v>
      </c>
      <c r="K371" s="65" t="s">
        <v>2251</v>
      </c>
      <c r="L371" s="65" t="s">
        <v>2252</v>
      </c>
      <c r="M371" s="65">
        <v>0.6</v>
      </c>
      <c r="N371" s="37" t="s">
        <v>66</v>
      </c>
      <c r="O371" s="37"/>
      <c r="P371" s="37"/>
      <c r="Q371" s="9" t="e">
        <v>#N/A</v>
      </c>
    </row>
    <row r="372" s="11" customFormat="1" ht="24" hidden="1" spans="1:17">
      <c r="A372" s="65" t="s">
        <v>2253</v>
      </c>
      <c r="B372" s="75" t="s">
        <v>2254</v>
      </c>
      <c r="C372" s="65" t="str">
        <f>"661506400597600"</f>
        <v>661506400597600</v>
      </c>
      <c r="D372" s="65" t="s">
        <v>58</v>
      </c>
      <c r="E372" s="65" t="s">
        <v>2255</v>
      </c>
      <c r="F372" s="66"/>
      <c r="G372" s="65" t="s">
        <v>60</v>
      </c>
      <c r="H372" s="66" t="s">
        <v>153</v>
      </c>
      <c r="I372" s="66" t="s">
        <v>2256</v>
      </c>
      <c r="J372" s="66" t="s">
        <v>2257</v>
      </c>
      <c r="K372" s="66" t="s">
        <v>2258</v>
      </c>
      <c r="L372" s="66" t="s">
        <v>2259</v>
      </c>
      <c r="M372" s="65">
        <v>0.6</v>
      </c>
      <c r="N372" s="72" t="s">
        <v>66</v>
      </c>
      <c r="O372" s="72"/>
      <c r="P372" s="72"/>
      <c r="Q372" s="11" t="e">
        <v>#N/A</v>
      </c>
    </row>
    <row r="373" s="9" customFormat="1" ht="24" hidden="1" spans="1:17">
      <c r="A373" s="65" t="s">
        <v>2260</v>
      </c>
      <c r="B373" s="75" t="s">
        <v>2261</v>
      </c>
      <c r="C373" s="65" t="str">
        <f>"661506400570900"</f>
        <v>661506400570900</v>
      </c>
      <c r="D373" s="65" t="s">
        <v>455</v>
      </c>
      <c r="E373" s="65" t="s">
        <v>1223</v>
      </c>
      <c r="F373" s="65" t="s">
        <v>2262</v>
      </c>
      <c r="G373" s="65" t="s">
        <v>60</v>
      </c>
      <c r="H373" s="65" t="s">
        <v>153</v>
      </c>
      <c r="I373" s="65" t="s">
        <v>154</v>
      </c>
      <c r="J373" s="65" t="s">
        <v>1037</v>
      </c>
      <c r="K373" s="65" t="s">
        <v>2263</v>
      </c>
      <c r="L373" s="65" t="s">
        <v>2264</v>
      </c>
      <c r="M373" s="65">
        <v>0.6</v>
      </c>
      <c r="N373" s="37" t="s">
        <v>66</v>
      </c>
      <c r="O373" s="37"/>
      <c r="P373" s="37"/>
      <c r="Q373" s="9" t="e">
        <v>#N/A</v>
      </c>
    </row>
    <row r="374" s="9" customFormat="1" ht="24" hidden="1" spans="1:17">
      <c r="A374" s="66" t="s">
        <v>2265</v>
      </c>
      <c r="B374" s="75" t="s">
        <v>2266</v>
      </c>
      <c r="C374" s="66" t="str">
        <f>"661506400548500"</f>
        <v>661506400548500</v>
      </c>
      <c r="D374" s="65" t="s">
        <v>58</v>
      </c>
      <c r="E374" s="65" t="s">
        <v>2267</v>
      </c>
      <c r="F374" s="65" t="s">
        <v>2268</v>
      </c>
      <c r="G374" s="65" t="s">
        <v>143</v>
      </c>
      <c r="H374" s="65" t="s">
        <v>317</v>
      </c>
      <c r="I374" s="65" t="s">
        <v>1356</v>
      </c>
      <c r="J374" s="65" t="s">
        <v>136</v>
      </c>
      <c r="K374" s="65" t="s">
        <v>570</v>
      </c>
      <c r="L374" s="65" t="s">
        <v>214</v>
      </c>
      <c r="M374" s="65">
        <v>0.6</v>
      </c>
      <c r="N374" s="37" t="s">
        <v>66</v>
      </c>
      <c r="O374" s="37"/>
      <c r="P374" s="37"/>
      <c r="Q374" s="9" t="e">
        <v>#N/A</v>
      </c>
    </row>
    <row r="375" s="11" customFormat="1" ht="36" spans="1:17">
      <c r="A375" s="64" t="s">
        <v>2269</v>
      </c>
      <c r="B375" s="76" t="s">
        <v>2270</v>
      </c>
      <c r="C375" s="64" t="str">
        <f>"661506400548400"</f>
        <v>661506400548400</v>
      </c>
      <c r="D375" s="65" t="s">
        <v>58</v>
      </c>
      <c r="E375" s="65" t="s">
        <v>2271</v>
      </c>
      <c r="F375" s="66" t="s">
        <v>2272</v>
      </c>
      <c r="G375" s="65" t="s">
        <v>60</v>
      </c>
      <c r="H375" s="66" t="s">
        <v>626</v>
      </c>
      <c r="I375" s="66" t="s">
        <v>619</v>
      </c>
      <c r="J375" s="66" t="s">
        <v>380</v>
      </c>
      <c r="K375" s="66" t="s">
        <v>2273</v>
      </c>
      <c r="L375" s="66" t="s">
        <v>2274</v>
      </c>
      <c r="M375" s="65">
        <v>0.6</v>
      </c>
      <c r="N375" s="73" t="s">
        <v>66</v>
      </c>
      <c r="O375" s="72"/>
      <c r="P375" s="72"/>
      <c r="Q375" s="11" t="e">
        <v>#N/A</v>
      </c>
    </row>
    <row r="376" s="10" customFormat="1" ht="60" hidden="1" spans="1:17">
      <c r="A376" s="66" t="s">
        <v>2275</v>
      </c>
      <c r="B376" s="75" t="s">
        <v>2276</v>
      </c>
      <c r="C376" s="66" t="str">
        <f>"661506400548300"</f>
        <v>661506400548300</v>
      </c>
      <c r="D376" s="26" t="s">
        <v>58</v>
      </c>
      <c r="E376" s="26" t="s">
        <v>2277</v>
      </c>
      <c r="F376" s="26"/>
      <c r="G376" s="26" t="s">
        <v>60</v>
      </c>
      <c r="H376" s="26" t="s">
        <v>234</v>
      </c>
      <c r="I376" s="26" t="s">
        <v>1468</v>
      </c>
      <c r="J376" s="26" t="s">
        <v>2278</v>
      </c>
      <c r="K376" s="26" t="s">
        <v>2279</v>
      </c>
      <c r="L376" s="26" t="s">
        <v>2280</v>
      </c>
      <c r="M376" s="26">
        <v>0.6</v>
      </c>
      <c r="N376" s="70" t="s">
        <v>116</v>
      </c>
      <c r="O376" s="68" t="s">
        <v>2281</v>
      </c>
      <c r="P376" s="68"/>
      <c r="Q376" s="10" t="e">
        <v>#N/A</v>
      </c>
    </row>
    <row r="377" s="10" customFormat="1" ht="36" hidden="1" spans="1:17">
      <c r="A377" s="26" t="s">
        <v>2282</v>
      </c>
      <c r="B377" s="76" t="s">
        <v>2283</v>
      </c>
      <c r="C377" s="26" t="str">
        <f>"661506400548200"</f>
        <v>661506400548200</v>
      </c>
      <c r="D377" s="26" t="s">
        <v>58</v>
      </c>
      <c r="E377" s="26" t="s">
        <v>2284</v>
      </c>
      <c r="F377" s="26" t="s">
        <v>2285</v>
      </c>
      <c r="G377" s="26" t="s">
        <v>60</v>
      </c>
      <c r="H377" s="26" t="s">
        <v>153</v>
      </c>
      <c r="I377" s="26" t="s">
        <v>1381</v>
      </c>
      <c r="J377" s="26" t="s">
        <v>205</v>
      </c>
      <c r="K377" s="26" t="s">
        <v>2286</v>
      </c>
      <c r="L377" s="26" t="s">
        <v>2287</v>
      </c>
      <c r="M377" s="26">
        <v>0.6</v>
      </c>
      <c r="N377" s="78" t="s">
        <v>116</v>
      </c>
      <c r="O377" s="78" t="s">
        <v>2288</v>
      </c>
      <c r="P377" s="78"/>
      <c r="Q377" s="10" t="e">
        <v>#N/A</v>
      </c>
    </row>
    <row r="378" s="9" customFormat="1" ht="24" hidden="1" spans="1:17">
      <c r="A378" s="65" t="s">
        <v>2289</v>
      </c>
      <c r="B378" s="75" t="s">
        <v>2290</v>
      </c>
      <c r="C378" s="65" t="str">
        <f>"661506400506300"</f>
        <v>661506400506300</v>
      </c>
      <c r="D378" s="65" t="s">
        <v>58</v>
      </c>
      <c r="E378" s="65" t="s">
        <v>2291</v>
      </c>
      <c r="F378" s="65" t="s">
        <v>2292</v>
      </c>
      <c r="G378" s="65" t="s">
        <v>60</v>
      </c>
      <c r="H378" s="65" t="s">
        <v>776</v>
      </c>
      <c r="I378" s="65" t="s">
        <v>1754</v>
      </c>
      <c r="J378" s="65" t="s">
        <v>128</v>
      </c>
      <c r="K378" s="65" t="s">
        <v>2293</v>
      </c>
      <c r="L378" s="65" t="s">
        <v>408</v>
      </c>
      <c r="M378" s="65">
        <v>0.6</v>
      </c>
      <c r="N378" s="37" t="s">
        <v>66</v>
      </c>
      <c r="O378" s="37"/>
      <c r="P378" s="37"/>
      <c r="Q378" s="9" t="e">
        <v>#N/A</v>
      </c>
    </row>
    <row r="379" s="11" customFormat="1" ht="24" hidden="1" spans="1:17">
      <c r="A379" s="66" t="s">
        <v>2294</v>
      </c>
      <c r="B379" s="75" t="s">
        <v>2295</v>
      </c>
      <c r="C379" s="66" t="str">
        <f>"661506400484600"</f>
        <v>661506400484600</v>
      </c>
      <c r="D379" s="66" t="s">
        <v>1048</v>
      </c>
      <c r="E379" s="66" t="s">
        <v>2296</v>
      </c>
      <c r="F379" s="66" t="s">
        <v>2297</v>
      </c>
      <c r="G379" s="66" t="s">
        <v>60</v>
      </c>
      <c r="H379" s="66" t="s">
        <v>310</v>
      </c>
      <c r="I379" s="66" t="s">
        <v>832</v>
      </c>
      <c r="J379" s="66" t="s">
        <v>63</v>
      </c>
      <c r="K379" s="66" t="s">
        <v>2298</v>
      </c>
      <c r="L379" s="66" t="s">
        <v>2299</v>
      </c>
      <c r="M379" s="66">
        <v>0.6</v>
      </c>
      <c r="N379" s="73" t="s">
        <v>66</v>
      </c>
      <c r="O379" s="72"/>
      <c r="P379" s="72"/>
      <c r="Q379" s="11" t="e">
        <v>#N/A</v>
      </c>
    </row>
    <row r="380" s="11" customFormat="1" ht="78" hidden="1" customHeight="1" spans="1:17">
      <c r="A380" s="66" t="s">
        <v>2300</v>
      </c>
      <c r="B380" s="75" t="s">
        <v>2301</v>
      </c>
      <c r="C380" s="66" t="str">
        <f>"661506400484400"</f>
        <v>661506400484400</v>
      </c>
      <c r="D380" s="66" t="s">
        <v>455</v>
      </c>
      <c r="E380" s="66" t="s">
        <v>2302</v>
      </c>
      <c r="F380" s="66" t="s">
        <v>2303</v>
      </c>
      <c r="G380" s="66" t="s">
        <v>60</v>
      </c>
      <c r="H380" s="66" t="s">
        <v>153</v>
      </c>
      <c r="I380" s="117" t="s">
        <v>145</v>
      </c>
      <c r="J380" s="66" t="s">
        <v>136</v>
      </c>
      <c r="K380" s="66" t="s">
        <v>2304</v>
      </c>
      <c r="L380" s="66" t="s">
        <v>2305</v>
      </c>
      <c r="M380" s="66">
        <v>0.6</v>
      </c>
      <c r="N380" s="79" t="s">
        <v>66</v>
      </c>
      <c r="O380" s="80"/>
      <c r="P380" s="80" t="s">
        <v>2306</v>
      </c>
      <c r="Q380" s="11" t="e">
        <v>#N/A</v>
      </c>
    </row>
    <row r="381" s="12" customFormat="1" ht="24" hidden="1" spans="1:17">
      <c r="A381" s="65" t="s">
        <v>2307</v>
      </c>
      <c r="B381" s="75" t="s">
        <v>2308</v>
      </c>
      <c r="C381" s="65" t="str">
        <f>"661506400470400"</f>
        <v>661506400470400</v>
      </c>
      <c r="D381" s="77" t="s">
        <v>58</v>
      </c>
      <c r="E381" s="77" t="s">
        <v>2309</v>
      </c>
      <c r="F381" s="77" t="s">
        <v>2310</v>
      </c>
      <c r="G381" s="77" t="s">
        <v>143</v>
      </c>
      <c r="H381" s="77" t="s">
        <v>174</v>
      </c>
      <c r="I381" s="119" t="s">
        <v>1024</v>
      </c>
      <c r="J381" s="77" t="s">
        <v>191</v>
      </c>
      <c r="K381" s="77" t="s">
        <v>2311</v>
      </c>
      <c r="L381" s="77" t="s">
        <v>2312</v>
      </c>
      <c r="M381" s="77">
        <v>0.6</v>
      </c>
      <c r="N381" s="79" t="s">
        <v>66</v>
      </c>
      <c r="O381" s="80"/>
      <c r="P381" s="80" t="s">
        <v>2313</v>
      </c>
      <c r="Q381" s="12" t="e">
        <v>#N/A</v>
      </c>
    </row>
    <row r="382" s="9" customFormat="1" ht="24" hidden="1" spans="1:17">
      <c r="A382" s="65" t="s">
        <v>2314</v>
      </c>
      <c r="B382" s="75" t="s">
        <v>2315</v>
      </c>
      <c r="C382" s="65" t="str">
        <f>"661506400470300"</f>
        <v>661506400470300</v>
      </c>
      <c r="D382" s="65" t="s">
        <v>58</v>
      </c>
      <c r="E382" s="65" t="s">
        <v>2316</v>
      </c>
      <c r="F382" s="65" t="s">
        <v>2317</v>
      </c>
      <c r="G382" s="65" t="s">
        <v>60</v>
      </c>
      <c r="H382" s="65" t="s">
        <v>79</v>
      </c>
      <c r="I382" s="65" t="s">
        <v>1391</v>
      </c>
      <c r="J382" s="65" t="s">
        <v>205</v>
      </c>
      <c r="K382" s="65" t="s">
        <v>2318</v>
      </c>
      <c r="L382" s="65" t="s">
        <v>2319</v>
      </c>
      <c r="M382" s="65">
        <v>0.6</v>
      </c>
      <c r="N382" s="37" t="s">
        <v>66</v>
      </c>
      <c r="O382" s="37"/>
      <c r="P382" s="37"/>
      <c r="Q382" s="9" t="e">
        <v>#N/A</v>
      </c>
    </row>
    <row r="383" s="11" customFormat="1" ht="36" hidden="1" spans="1:17">
      <c r="A383" s="65" t="s">
        <v>2320</v>
      </c>
      <c r="B383" s="75" t="s">
        <v>2321</v>
      </c>
      <c r="C383" s="65" t="str">
        <f>"661506400446700"</f>
        <v>661506400446700</v>
      </c>
      <c r="D383" s="66" t="s">
        <v>58</v>
      </c>
      <c r="E383" s="66" t="s">
        <v>2322</v>
      </c>
      <c r="F383" s="66" t="s">
        <v>2323</v>
      </c>
      <c r="G383" s="66" t="s">
        <v>143</v>
      </c>
      <c r="H383" s="66" t="s">
        <v>2324</v>
      </c>
      <c r="I383" s="66"/>
      <c r="J383" s="66" t="s">
        <v>303</v>
      </c>
      <c r="K383" s="66" t="s">
        <v>2325</v>
      </c>
      <c r="L383" s="66" t="s">
        <v>2326</v>
      </c>
      <c r="M383" s="66">
        <v>0.6</v>
      </c>
      <c r="N383" s="72" t="s">
        <v>66</v>
      </c>
      <c r="O383" s="72"/>
      <c r="P383" s="72"/>
      <c r="Q383" s="11" t="e">
        <v>#N/A</v>
      </c>
    </row>
    <row r="384" s="10" customFormat="1" ht="48" hidden="1" spans="1:17">
      <c r="A384" s="66" t="s">
        <v>2327</v>
      </c>
      <c r="B384" s="75" t="s">
        <v>2328</v>
      </c>
      <c r="C384" s="66" t="str">
        <f>"661506400430300"</f>
        <v>661506400430300</v>
      </c>
      <c r="D384" s="26" t="s">
        <v>58</v>
      </c>
      <c r="E384" s="26" t="s">
        <v>2329</v>
      </c>
      <c r="F384" s="26" t="s">
        <v>2330</v>
      </c>
      <c r="G384" s="26" t="s">
        <v>60</v>
      </c>
      <c r="H384" s="26" t="s">
        <v>144</v>
      </c>
      <c r="I384" s="26" t="s">
        <v>2331</v>
      </c>
      <c r="J384" s="26" t="s">
        <v>2332</v>
      </c>
      <c r="K384" s="26" t="s">
        <v>2333</v>
      </c>
      <c r="L384" s="26" t="s">
        <v>2334</v>
      </c>
      <c r="M384" s="26">
        <v>0.6</v>
      </c>
      <c r="N384" s="78" t="s">
        <v>116</v>
      </c>
      <c r="O384" s="78" t="s">
        <v>2335</v>
      </c>
      <c r="P384" s="78"/>
      <c r="Q384" s="10" t="e">
        <v>#N/A</v>
      </c>
    </row>
    <row r="385" s="9" customFormat="1" ht="60" hidden="1" spans="1:17">
      <c r="A385" s="66" t="s">
        <v>2336</v>
      </c>
      <c r="B385" s="75" t="s">
        <v>2337</v>
      </c>
      <c r="C385" s="66" t="str">
        <f>"661506400430200"</f>
        <v>661506400430200</v>
      </c>
      <c r="D385" s="65" t="s">
        <v>455</v>
      </c>
      <c r="E385" s="65" t="s">
        <v>2338</v>
      </c>
      <c r="F385" s="65" t="s">
        <v>2339</v>
      </c>
      <c r="G385" s="65" t="s">
        <v>60</v>
      </c>
      <c r="H385" s="65" t="s">
        <v>2340</v>
      </c>
      <c r="I385" s="116" t="s">
        <v>1059</v>
      </c>
      <c r="J385" s="65" t="s">
        <v>631</v>
      </c>
      <c r="K385" s="65" t="s">
        <v>2341</v>
      </c>
      <c r="L385" s="65" t="s">
        <v>2342</v>
      </c>
      <c r="M385" s="65">
        <v>0.6</v>
      </c>
      <c r="N385" s="37" t="s">
        <v>66</v>
      </c>
      <c r="O385" s="37" t="s">
        <v>2343</v>
      </c>
      <c r="P385" s="37"/>
      <c r="Q385" s="9" t="e">
        <v>#N/A</v>
      </c>
    </row>
    <row r="386" s="10" customFormat="1" ht="60" hidden="1" spans="1:17">
      <c r="A386" s="66" t="s">
        <v>2344</v>
      </c>
      <c r="B386" s="75" t="s">
        <v>2345</v>
      </c>
      <c r="C386" s="66" t="str">
        <f>"661506400420400"</f>
        <v>661506400420400</v>
      </c>
      <c r="D386" s="26" t="s">
        <v>58</v>
      </c>
      <c r="E386" s="26" t="s">
        <v>2346</v>
      </c>
      <c r="F386" s="26" t="s">
        <v>2347</v>
      </c>
      <c r="G386" s="26" t="s">
        <v>60</v>
      </c>
      <c r="H386" s="26" t="s">
        <v>234</v>
      </c>
      <c r="I386" s="26" t="s">
        <v>1391</v>
      </c>
      <c r="J386" s="26" t="s">
        <v>1037</v>
      </c>
      <c r="K386" s="26" t="s">
        <v>2348</v>
      </c>
      <c r="L386" s="26" t="s">
        <v>2349</v>
      </c>
      <c r="M386" s="26">
        <v>0.6</v>
      </c>
      <c r="N386" s="68" t="s">
        <v>116</v>
      </c>
      <c r="O386" s="68" t="s">
        <v>2350</v>
      </c>
      <c r="P386" s="68"/>
      <c r="Q386" s="10" t="e">
        <v>#N/A</v>
      </c>
    </row>
    <row r="387" s="9" customFormat="1" ht="24" hidden="1" spans="1:17">
      <c r="A387" s="66" t="s">
        <v>2351</v>
      </c>
      <c r="B387" s="75" t="s">
        <v>2352</v>
      </c>
      <c r="C387" s="66" t="str">
        <f>"661506400418200"</f>
        <v>661506400418200</v>
      </c>
      <c r="D387" s="65" t="s">
        <v>58</v>
      </c>
      <c r="E387" s="65" t="s">
        <v>2353</v>
      </c>
      <c r="F387" s="65" t="s">
        <v>2354</v>
      </c>
      <c r="G387" s="65" t="s">
        <v>60</v>
      </c>
      <c r="H387" s="65" t="s">
        <v>1315</v>
      </c>
      <c r="I387" s="65" t="s">
        <v>112</v>
      </c>
      <c r="J387" s="65" t="s">
        <v>1511</v>
      </c>
      <c r="K387" s="65" t="s">
        <v>2355</v>
      </c>
      <c r="L387" s="65" t="s">
        <v>2356</v>
      </c>
      <c r="M387" s="65">
        <v>0.6</v>
      </c>
      <c r="N387" s="37" t="s">
        <v>66</v>
      </c>
      <c r="O387" s="37"/>
      <c r="P387" s="37"/>
      <c r="Q387" s="9" t="e">
        <v>#N/A</v>
      </c>
    </row>
    <row r="388" s="9" customFormat="1" ht="36" hidden="1" spans="1:17">
      <c r="A388" s="66" t="s">
        <v>2357</v>
      </c>
      <c r="B388" s="75" t="s">
        <v>2358</v>
      </c>
      <c r="C388" s="66" t="str">
        <f>"661506400378900"</f>
        <v>661506400378900</v>
      </c>
      <c r="D388" s="65" t="s">
        <v>58</v>
      </c>
      <c r="E388" s="65" t="s">
        <v>2359</v>
      </c>
      <c r="F388" s="65" t="s">
        <v>2360</v>
      </c>
      <c r="G388" s="65" t="s">
        <v>60</v>
      </c>
      <c r="H388" s="65" t="s">
        <v>2361</v>
      </c>
      <c r="I388" s="65" t="s">
        <v>1340</v>
      </c>
      <c r="J388" s="65" t="s">
        <v>205</v>
      </c>
      <c r="K388" s="65" t="s">
        <v>214</v>
      </c>
      <c r="L388" s="65" t="s">
        <v>215</v>
      </c>
      <c r="M388" s="65">
        <v>0.6</v>
      </c>
      <c r="N388" s="37" t="s">
        <v>66</v>
      </c>
      <c r="O388" s="85"/>
      <c r="P388" s="37"/>
      <c r="Q388" s="9" t="e">
        <v>#N/A</v>
      </c>
    </row>
    <row r="389" s="12" customFormat="1" ht="24" hidden="1" spans="1:17">
      <c r="A389" s="66" t="s">
        <v>2362</v>
      </c>
      <c r="B389" s="75" t="s">
        <v>2363</v>
      </c>
      <c r="C389" s="66" t="str">
        <f>"661506400377000"</f>
        <v>661506400377000</v>
      </c>
      <c r="D389" s="77" t="s">
        <v>58</v>
      </c>
      <c r="E389" s="77" t="s">
        <v>2364</v>
      </c>
      <c r="F389" s="77" t="s">
        <v>2365</v>
      </c>
      <c r="G389" s="77" t="s">
        <v>60</v>
      </c>
      <c r="H389" s="77" t="s">
        <v>401</v>
      </c>
      <c r="I389" s="119" t="s">
        <v>95</v>
      </c>
      <c r="J389" s="77" t="s">
        <v>2366</v>
      </c>
      <c r="K389" s="77" t="s">
        <v>2367</v>
      </c>
      <c r="L389" s="77" t="s">
        <v>2368</v>
      </c>
      <c r="M389" s="77">
        <v>0.6</v>
      </c>
      <c r="N389" s="74" t="s">
        <v>2017</v>
      </c>
      <c r="O389" s="74"/>
      <c r="P389" s="74"/>
      <c r="Q389" s="12" t="e">
        <v>#N/A</v>
      </c>
    </row>
    <row r="390" s="9" customFormat="1" ht="24" hidden="1" spans="1:17">
      <c r="A390" s="65" t="s">
        <v>2369</v>
      </c>
      <c r="B390" s="75" t="s">
        <v>2370</v>
      </c>
      <c r="C390" s="65" t="str">
        <f>"661506400372200"</f>
        <v>661506400372200</v>
      </c>
      <c r="D390" s="65" t="s">
        <v>58</v>
      </c>
      <c r="E390" s="65" t="s">
        <v>2371</v>
      </c>
      <c r="F390" s="65" t="s">
        <v>2372</v>
      </c>
      <c r="G390" s="65" t="s">
        <v>60</v>
      </c>
      <c r="H390" s="65" t="s">
        <v>212</v>
      </c>
      <c r="I390" s="65" t="s">
        <v>1440</v>
      </c>
      <c r="J390" s="65" t="s">
        <v>205</v>
      </c>
      <c r="K390" s="65" t="s">
        <v>214</v>
      </c>
      <c r="L390" s="65" t="s">
        <v>215</v>
      </c>
      <c r="M390" s="65">
        <v>0.6</v>
      </c>
      <c r="N390" s="37" t="s">
        <v>66</v>
      </c>
      <c r="O390" s="37"/>
      <c r="P390" s="37"/>
      <c r="Q390" s="9" t="e">
        <v>#N/A</v>
      </c>
    </row>
    <row r="391" s="11" customFormat="1" ht="24" spans="1:17">
      <c r="A391" s="64" t="s">
        <v>2373</v>
      </c>
      <c r="B391" s="76" t="s">
        <v>2374</v>
      </c>
      <c r="C391" s="64" t="str">
        <f>"661506400358600"</f>
        <v>661506400358600</v>
      </c>
      <c r="D391" s="81" t="s">
        <v>58</v>
      </c>
      <c r="E391" s="66" t="s">
        <v>2375</v>
      </c>
      <c r="F391" s="66" t="s">
        <v>2376</v>
      </c>
      <c r="G391" s="66" t="s">
        <v>60</v>
      </c>
      <c r="H391" s="66" t="s">
        <v>153</v>
      </c>
      <c r="I391" s="117" t="s">
        <v>88</v>
      </c>
      <c r="J391" s="66" t="s">
        <v>2377</v>
      </c>
      <c r="K391" s="66" t="s">
        <v>2378</v>
      </c>
      <c r="L391" s="66" t="s">
        <v>2379</v>
      </c>
      <c r="M391" s="66">
        <v>0.6</v>
      </c>
      <c r="N391" s="72" t="s">
        <v>66</v>
      </c>
      <c r="O391" s="72"/>
      <c r="P391" s="72"/>
      <c r="Q391" s="11" t="e">
        <v>#N/A</v>
      </c>
    </row>
    <row r="392" s="9" customFormat="1" ht="24" hidden="1" spans="1:17">
      <c r="A392" s="65" t="s">
        <v>2380</v>
      </c>
      <c r="B392" s="75" t="s">
        <v>2381</v>
      </c>
      <c r="C392" s="65" t="str">
        <f>"661506400351100"</f>
        <v>661506400351100</v>
      </c>
      <c r="D392" s="65" t="s">
        <v>58</v>
      </c>
      <c r="E392" s="65" t="s">
        <v>2382</v>
      </c>
      <c r="F392" s="65" t="s">
        <v>2383</v>
      </c>
      <c r="G392" s="65" t="s">
        <v>143</v>
      </c>
      <c r="H392" s="65" t="s">
        <v>72</v>
      </c>
      <c r="I392" s="65" t="s">
        <v>1468</v>
      </c>
      <c r="J392" s="65" t="s">
        <v>80</v>
      </c>
      <c r="K392" s="65" t="s">
        <v>236</v>
      </c>
      <c r="L392" s="65" t="s">
        <v>237</v>
      </c>
      <c r="M392" s="65">
        <v>0.6</v>
      </c>
      <c r="N392" s="37" t="s">
        <v>66</v>
      </c>
      <c r="O392" s="37"/>
      <c r="P392" s="37"/>
      <c r="Q392" s="9" t="e">
        <v>#N/A</v>
      </c>
    </row>
    <row r="393" s="10" customFormat="1" ht="36" hidden="1" spans="1:17">
      <c r="A393" s="65" t="s">
        <v>2384</v>
      </c>
      <c r="B393" s="75" t="s">
        <v>2385</v>
      </c>
      <c r="C393" s="65" t="str">
        <f>"661506400330500"</f>
        <v>661506400330500</v>
      </c>
      <c r="D393" s="26" t="s">
        <v>58</v>
      </c>
      <c r="E393" s="26" t="s">
        <v>2386</v>
      </c>
      <c r="F393" s="26" t="s">
        <v>2387</v>
      </c>
      <c r="G393" s="26" t="s">
        <v>60</v>
      </c>
      <c r="H393" s="26" t="s">
        <v>94</v>
      </c>
      <c r="I393" s="26" t="s">
        <v>1468</v>
      </c>
      <c r="J393" s="26" t="s">
        <v>105</v>
      </c>
      <c r="K393" s="26" t="s">
        <v>2388</v>
      </c>
      <c r="L393" s="26" t="s">
        <v>2389</v>
      </c>
      <c r="M393" s="26">
        <v>0.6</v>
      </c>
      <c r="N393" s="86" t="s">
        <v>116</v>
      </c>
      <c r="O393" s="87" t="s">
        <v>2390</v>
      </c>
      <c r="P393" s="88" t="s">
        <v>2391</v>
      </c>
      <c r="Q393" s="10" t="e">
        <v>#N/A</v>
      </c>
    </row>
    <row r="394" s="9" customFormat="1" ht="24" hidden="1" spans="1:17">
      <c r="A394" s="26" t="s">
        <v>2392</v>
      </c>
      <c r="B394" s="76" t="s">
        <v>2393</v>
      </c>
      <c r="C394" s="26" t="str">
        <f>"661506400318200"</f>
        <v>661506400318200</v>
      </c>
      <c r="D394" s="65" t="s">
        <v>58</v>
      </c>
      <c r="E394" s="65" t="s">
        <v>2394</v>
      </c>
      <c r="F394" s="65"/>
      <c r="G394" s="65" t="s">
        <v>60</v>
      </c>
      <c r="H394" s="65" t="s">
        <v>284</v>
      </c>
      <c r="I394" s="65" t="s">
        <v>1391</v>
      </c>
      <c r="J394" s="65" t="s">
        <v>205</v>
      </c>
      <c r="K394" s="65" t="s">
        <v>2395</v>
      </c>
      <c r="L394" s="65" t="s">
        <v>2396</v>
      </c>
      <c r="M394" s="65">
        <v>0.6</v>
      </c>
      <c r="N394" s="37" t="s">
        <v>66</v>
      </c>
      <c r="O394" s="37"/>
      <c r="P394" s="37"/>
      <c r="Q394" s="9" t="e">
        <v>#N/A</v>
      </c>
    </row>
    <row r="395" s="9" customFormat="1" ht="24" spans="1:17">
      <c r="A395" s="64" t="s">
        <v>2397</v>
      </c>
      <c r="B395" s="76" t="s">
        <v>2398</v>
      </c>
      <c r="C395" s="64" t="str">
        <f>"661506400300700"</f>
        <v>661506400300700</v>
      </c>
      <c r="D395" s="65" t="s">
        <v>455</v>
      </c>
      <c r="E395" s="65" t="s">
        <v>774</v>
      </c>
      <c r="F395" s="65"/>
      <c r="G395" s="65" t="s">
        <v>143</v>
      </c>
      <c r="H395" s="65" t="s">
        <v>2399</v>
      </c>
      <c r="I395" s="65" t="s">
        <v>2159</v>
      </c>
      <c r="J395" s="65" t="s">
        <v>631</v>
      </c>
      <c r="K395" s="65" t="s">
        <v>2400</v>
      </c>
      <c r="L395" s="65" t="s">
        <v>2401</v>
      </c>
      <c r="M395" s="65">
        <v>0.6</v>
      </c>
      <c r="N395" s="37" t="s">
        <v>66</v>
      </c>
      <c r="O395" s="37"/>
      <c r="P395" s="37"/>
      <c r="Q395" s="9" t="e">
        <v>#N/A</v>
      </c>
    </row>
    <row r="396" s="10" customFormat="1" ht="36" hidden="1" spans="1:17">
      <c r="A396" s="65" t="s">
        <v>2402</v>
      </c>
      <c r="B396" s="75" t="s">
        <v>2403</v>
      </c>
      <c r="C396" s="65" t="str">
        <f>"661506400298700"</f>
        <v>661506400298700</v>
      </c>
      <c r="D396" s="26" t="s">
        <v>455</v>
      </c>
      <c r="E396" s="26" t="s">
        <v>2404</v>
      </c>
      <c r="F396" s="26" t="s">
        <v>2405</v>
      </c>
      <c r="G396" s="26" t="s">
        <v>60</v>
      </c>
      <c r="H396" s="26" t="s">
        <v>153</v>
      </c>
      <c r="I396" s="26" t="s">
        <v>1348</v>
      </c>
      <c r="J396" s="26" t="s">
        <v>128</v>
      </c>
      <c r="K396" s="26" t="s">
        <v>236</v>
      </c>
      <c r="L396" s="26" t="s">
        <v>237</v>
      </c>
      <c r="M396" s="26">
        <v>0.6</v>
      </c>
      <c r="N396" s="37" t="s">
        <v>66</v>
      </c>
      <c r="O396" s="37" t="s">
        <v>2406</v>
      </c>
      <c r="P396" s="37"/>
      <c r="Q396" s="10" t="e">
        <v>#N/A</v>
      </c>
    </row>
    <row r="397" s="9" customFormat="1" ht="36" hidden="1" spans="1:17">
      <c r="A397" s="26" t="s">
        <v>2407</v>
      </c>
      <c r="B397" s="76" t="s">
        <v>2408</v>
      </c>
      <c r="C397" s="26" t="str">
        <f>"661506400296500"</f>
        <v>661506400296500</v>
      </c>
      <c r="D397" s="65" t="s">
        <v>58</v>
      </c>
      <c r="E397" s="65" t="s">
        <v>2409</v>
      </c>
      <c r="F397" s="65" t="s">
        <v>2179</v>
      </c>
      <c r="G397" s="65" t="s">
        <v>60</v>
      </c>
      <c r="H397" s="65" t="s">
        <v>2410</v>
      </c>
      <c r="I397" s="115" t="s">
        <v>2411</v>
      </c>
      <c r="J397" s="65" t="s">
        <v>228</v>
      </c>
      <c r="K397" s="65" t="s">
        <v>2412</v>
      </c>
      <c r="L397" s="65" t="s">
        <v>2413</v>
      </c>
      <c r="M397" s="65">
        <v>0.6</v>
      </c>
      <c r="N397" s="37" t="s">
        <v>66</v>
      </c>
      <c r="O397" s="37"/>
      <c r="P397" s="37"/>
      <c r="Q397" s="9" t="e">
        <v>#N/A</v>
      </c>
    </row>
    <row r="398" s="11" customFormat="1" ht="24" hidden="1" spans="1:17">
      <c r="A398" s="65" t="s">
        <v>2414</v>
      </c>
      <c r="B398" s="75" t="s">
        <v>2415</v>
      </c>
      <c r="C398" s="65" t="str">
        <f>"661506400274600"</f>
        <v>661506400274600</v>
      </c>
      <c r="D398" s="66" t="s">
        <v>58</v>
      </c>
      <c r="E398" s="66"/>
      <c r="F398" s="66"/>
      <c r="G398" s="66" t="s">
        <v>60</v>
      </c>
      <c r="H398" s="66" t="s">
        <v>126</v>
      </c>
      <c r="I398" s="117" t="s">
        <v>478</v>
      </c>
      <c r="J398" s="66" t="s">
        <v>74</v>
      </c>
      <c r="K398" s="66" t="s">
        <v>2416</v>
      </c>
      <c r="L398" s="66" t="s">
        <v>2417</v>
      </c>
      <c r="M398" s="66">
        <v>0.6</v>
      </c>
      <c r="N398" s="72" t="s">
        <v>66</v>
      </c>
      <c r="O398" s="72" t="s">
        <v>2018</v>
      </c>
      <c r="P398" s="72"/>
      <c r="Q398" s="11" t="e">
        <v>#N/A</v>
      </c>
    </row>
    <row r="399" s="9" customFormat="1" ht="24" hidden="1" spans="1:17">
      <c r="A399" s="65" t="s">
        <v>2418</v>
      </c>
      <c r="B399" s="75" t="s">
        <v>2419</v>
      </c>
      <c r="C399" s="65" t="str">
        <f>"661506400271300"</f>
        <v>661506400271300</v>
      </c>
      <c r="D399" s="65" t="s">
        <v>58</v>
      </c>
      <c r="E399" s="65" t="s">
        <v>2420</v>
      </c>
      <c r="F399" s="65" t="s">
        <v>2421</v>
      </c>
      <c r="G399" s="65" t="s">
        <v>60</v>
      </c>
      <c r="H399" s="65" t="s">
        <v>2145</v>
      </c>
      <c r="I399" s="116" t="s">
        <v>154</v>
      </c>
      <c r="J399" s="65" t="s">
        <v>105</v>
      </c>
      <c r="K399" s="65" t="s">
        <v>2422</v>
      </c>
      <c r="L399" s="65" t="s">
        <v>2423</v>
      </c>
      <c r="M399" s="65">
        <v>0.6</v>
      </c>
      <c r="N399" s="37" t="s">
        <v>66</v>
      </c>
      <c r="O399" s="37"/>
      <c r="P399" s="37"/>
      <c r="Q399" s="9" t="e">
        <v>#N/A</v>
      </c>
    </row>
    <row r="400" s="9" customFormat="1" ht="24" hidden="1" spans="1:17">
      <c r="A400" s="65" t="s">
        <v>2424</v>
      </c>
      <c r="B400" s="75" t="s">
        <v>2425</v>
      </c>
      <c r="C400" s="65" t="str">
        <f>"661506400271000"</f>
        <v>661506400271000</v>
      </c>
      <c r="D400" s="65" t="s">
        <v>58</v>
      </c>
      <c r="E400" s="65" t="s">
        <v>2426</v>
      </c>
      <c r="F400" s="65" t="s">
        <v>2427</v>
      </c>
      <c r="G400" s="65" t="s">
        <v>60</v>
      </c>
      <c r="H400" s="65" t="s">
        <v>153</v>
      </c>
      <c r="I400" s="65" t="s">
        <v>1381</v>
      </c>
      <c r="J400" s="65" t="s">
        <v>191</v>
      </c>
      <c r="K400" s="65" t="s">
        <v>2428</v>
      </c>
      <c r="L400" s="65" t="s">
        <v>2429</v>
      </c>
      <c r="M400" s="65">
        <v>0.6</v>
      </c>
      <c r="N400" s="37" t="s">
        <v>66</v>
      </c>
      <c r="O400" s="37"/>
      <c r="P400" s="37"/>
      <c r="Q400" s="9" t="e">
        <v>#N/A</v>
      </c>
    </row>
    <row r="401" s="10" customFormat="1" ht="24" hidden="1" spans="1:17">
      <c r="A401" s="65" t="s">
        <v>2430</v>
      </c>
      <c r="B401" s="75" t="s">
        <v>2431</v>
      </c>
      <c r="C401" s="65" t="str">
        <f>"661506400264900"</f>
        <v>661506400264900</v>
      </c>
      <c r="D401" s="26" t="s">
        <v>58</v>
      </c>
      <c r="E401" s="26" t="s">
        <v>2432</v>
      </c>
      <c r="F401" s="26"/>
      <c r="G401" s="26" t="s">
        <v>60</v>
      </c>
      <c r="H401" s="26" t="s">
        <v>2433</v>
      </c>
      <c r="I401" s="118" t="s">
        <v>710</v>
      </c>
      <c r="J401" s="26" t="s">
        <v>105</v>
      </c>
      <c r="K401" s="26" t="s">
        <v>214</v>
      </c>
      <c r="L401" s="26" t="s">
        <v>215</v>
      </c>
      <c r="M401" s="26">
        <v>0.6</v>
      </c>
      <c r="N401" s="37" t="s">
        <v>2017</v>
      </c>
      <c r="O401" s="37"/>
      <c r="P401" s="37"/>
      <c r="Q401" s="10" t="e">
        <v>#N/A</v>
      </c>
    </row>
    <row r="402" s="11" customFormat="1" ht="24" hidden="1" spans="1:17">
      <c r="A402" s="26" t="s">
        <v>2434</v>
      </c>
      <c r="B402" s="76" t="s">
        <v>2435</v>
      </c>
      <c r="C402" s="26" t="str">
        <f>"661506400258200"</f>
        <v>661506400258200</v>
      </c>
      <c r="D402" s="66" t="s">
        <v>58</v>
      </c>
      <c r="E402" s="66" t="s">
        <v>2436</v>
      </c>
      <c r="F402" s="66" t="s">
        <v>2437</v>
      </c>
      <c r="G402" s="66" t="s">
        <v>60</v>
      </c>
      <c r="H402" s="66" t="s">
        <v>2438</v>
      </c>
      <c r="I402" s="66" t="s">
        <v>175</v>
      </c>
      <c r="J402" s="66" t="s">
        <v>631</v>
      </c>
      <c r="K402" s="66" t="s">
        <v>2439</v>
      </c>
      <c r="L402" s="66" t="s">
        <v>2440</v>
      </c>
      <c r="M402" s="66">
        <v>0.6</v>
      </c>
      <c r="N402" s="72" t="s">
        <v>66</v>
      </c>
      <c r="O402" s="72"/>
      <c r="P402" s="72"/>
      <c r="Q402" s="11" t="e">
        <v>#N/A</v>
      </c>
    </row>
    <row r="403" s="9" customFormat="1" ht="36" hidden="1" spans="1:17">
      <c r="A403" s="65" t="s">
        <v>2441</v>
      </c>
      <c r="B403" s="120" t="s">
        <v>2442</v>
      </c>
      <c r="C403" s="65" t="str">
        <f>"661506400256200"</f>
        <v>661506400256200</v>
      </c>
      <c r="D403" s="65" t="s">
        <v>58</v>
      </c>
      <c r="E403" s="65" t="s">
        <v>2443</v>
      </c>
      <c r="F403" s="65"/>
      <c r="G403" s="65" t="s">
        <v>60</v>
      </c>
      <c r="H403" s="65" t="s">
        <v>120</v>
      </c>
      <c r="I403" s="115" t="s">
        <v>2444</v>
      </c>
      <c r="J403" s="65" t="s">
        <v>191</v>
      </c>
      <c r="K403" s="65" t="s">
        <v>2445</v>
      </c>
      <c r="L403" s="65" t="s">
        <v>2446</v>
      </c>
      <c r="M403" s="65">
        <v>0.6</v>
      </c>
      <c r="N403" s="37" t="s">
        <v>66</v>
      </c>
      <c r="O403" s="37"/>
      <c r="P403" s="37"/>
      <c r="Q403" s="9" t="e">
        <v>#N/A</v>
      </c>
    </row>
    <row r="404" s="12" customFormat="1" ht="24" hidden="1" spans="1:17">
      <c r="A404" s="26" t="s">
        <v>2447</v>
      </c>
      <c r="B404" s="76" t="s">
        <v>2448</v>
      </c>
      <c r="C404" s="26" t="str">
        <f>"661506400190900"</f>
        <v>661506400190900</v>
      </c>
      <c r="D404" s="77" t="s">
        <v>58</v>
      </c>
      <c r="E404" s="77" t="s">
        <v>2449</v>
      </c>
      <c r="F404" s="77" t="s">
        <v>2450</v>
      </c>
      <c r="G404" s="77" t="s">
        <v>60</v>
      </c>
      <c r="H404" s="77" t="s">
        <v>295</v>
      </c>
      <c r="I404" s="77" t="s">
        <v>1399</v>
      </c>
      <c r="J404" s="77" t="s">
        <v>128</v>
      </c>
      <c r="K404" s="77" t="s">
        <v>263</v>
      </c>
      <c r="L404" s="77" t="s">
        <v>264</v>
      </c>
      <c r="M404" s="77">
        <v>0.6</v>
      </c>
      <c r="N404" s="89" t="s">
        <v>66</v>
      </c>
      <c r="O404" s="89" t="s">
        <v>2451</v>
      </c>
      <c r="P404" s="89"/>
      <c r="Q404" s="12" t="e">
        <v>#N/A</v>
      </c>
    </row>
    <row r="405" s="10" customFormat="1" ht="72" spans="1:17">
      <c r="A405" s="64" t="s">
        <v>2452</v>
      </c>
      <c r="B405" s="76" t="s">
        <v>2453</v>
      </c>
      <c r="C405" s="64" t="str">
        <f>"661506400175800"</f>
        <v>661506400175800</v>
      </c>
      <c r="D405" s="26" t="s">
        <v>58</v>
      </c>
      <c r="E405" s="26" t="s">
        <v>2454</v>
      </c>
      <c r="F405" s="26" t="s">
        <v>2455</v>
      </c>
      <c r="G405" s="26" t="s">
        <v>60</v>
      </c>
      <c r="H405" s="26" t="s">
        <v>153</v>
      </c>
      <c r="I405" s="26" t="s">
        <v>135</v>
      </c>
      <c r="J405" s="26" t="s">
        <v>128</v>
      </c>
      <c r="K405" s="26" t="s">
        <v>821</v>
      </c>
      <c r="L405" s="26" t="s">
        <v>822</v>
      </c>
      <c r="M405" s="26">
        <v>0.6</v>
      </c>
      <c r="N405" s="26" t="s">
        <v>116</v>
      </c>
      <c r="O405" s="26" t="s">
        <v>2456</v>
      </c>
      <c r="P405" s="26"/>
      <c r="Q405" s="10" t="e">
        <v>#N/A</v>
      </c>
    </row>
    <row r="406" ht="24" hidden="1" spans="1:17">
      <c r="A406" s="65" t="s">
        <v>2457</v>
      </c>
      <c r="B406" s="75" t="s">
        <v>2458</v>
      </c>
      <c r="C406" s="65" t="str">
        <f>"661506400168500"</f>
        <v>661506400168500</v>
      </c>
      <c r="D406" s="82" t="s">
        <v>58</v>
      </c>
      <c r="E406" s="82" t="s">
        <v>2459</v>
      </c>
      <c r="F406" s="82" t="str">
        <f>"15389850009"</f>
        <v>15389850009</v>
      </c>
      <c r="G406" s="82" t="str">
        <f>"20240319"</f>
        <v>20240319</v>
      </c>
      <c r="H406" s="82" t="s">
        <v>153</v>
      </c>
      <c r="I406" s="82" t="str">
        <f>"402205075169"</f>
        <v>402205075169</v>
      </c>
      <c r="J406" s="82" t="str">
        <f>"22"</f>
        <v>22</v>
      </c>
      <c r="K406" s="82" t="str">
        <f>"12325.5"</f>
        <v>12325.5</v>
      </c>
      <c r="Q406" s="12" t="e">
        <v>#N/A</v>
      </c>
    </row>
    <row r="407" ht="24" hidden="1" spans="1:17">
      <c r="A407" s="66" t="s">
        <v>2460</v>
      </c>
      <c r="B407" s="75" t="s">
        <v>2461</v>
      </c>
      <c r="C407" s="66" t="str">
        <f>"661506400164900"</f>
        <v>661506400164900</v>
      </c>
      <c r="D407" s="82" t="s">
        <v>58</v>
      </c>
      <c r="E407" s="82" t="s">
        <v>2462</v>
      </c>
      <c r="F407" s="82" t="str">
        <f>"15248400992"</f>
        <v>15248400992</v>
      </c>
      <c r="G407" s="82" t="str">
        <f>"20240911"</f>
        <v>20240911</v>
      </c>
      <c r="H407" s="82" t="s">
        <v>153</v>
      </c>
      <c r="I407" s="90" t="s">
        <v>1101</v>
      </c>
      <c r="J407" s="82" t="str">
        <f>"6"</f>
        <v>6</v>
      </c>
      <c r="K407" s="82" t="str">
        <f>"3536.16"</f>
        <v>3536.16</v>
      </c>
      <c r="Q407" s="12" t="e">
        <v>#N/A</v>
      </c>
    </row>
    <row r="408" ht="24" hidden="1" spans="1:17">
      <c r="A408" s="26" t="s">
        <v>2463</v>
      </c>
      <c r="B408" s="76" t="s">
        <v>2464</v>
      </c>
      <c r="C408" s="26" t="str">
        <f>"66150640016375"</f>
        <v>66150640016375</v>
      </c>
      <c r="D408" s="82" t="s">
        <v>58</v>
      </c>
      <c r="E408" s="82" t="s">
        <v>2465</v>
      </c>
      <c r="F408" s="82" t="str">
        <f>"13644773137"</f>
        <v>13644773137</v>
      </c>
      <c r="G408" s="82" t="str">
        <f>"20240320"</f>
        <v>20240320</v>
      </c>
      <c r="H408" s="82" t="s">
        <v>120</v>
      </c>
      <c r="I408" s="82" t="str">
        <f>"104205003054"</f>
        <v>104205003054</v>
      </c>
      <c r="J408" s="82" t="str">
        <f>"40"</f>
        <v>40</v>
      </c>
      <c r="K408" s="82" t="str">
        <f>"64428.14"</f>
        <v>64428.14</v>
      </c>
      <c r="Q408" s="12" t="e">
        <v>#N/A</v>
      </c>
    </row>
    <row r="409" ht="24" spans="1:17">
      <c r="A409" s="64" t="s">
        <v>2466</v>
      </c>
      <c r="B409" s="76" t="s">
        <v>2467</v>
      </c>
      <c r="C409" s="64" t="str">
        <f>"661506400160500"</f>
        <v>661506400160500</v>
      </c>
      <c r="D409" s="26"/>
      <c r="E409" s="26" t="s">
        <v>2468</v>
      </c>
      <c r="F409" s="77"/>
      <c r="G409" s="26"/>
      <c r="H409" s="77"/>
      <c r="I409" s="77"/>
      <c r="J409" s="77"/>
      <c r="K409" s="77">
        <v>24262.02</v>
      </c>
      <c r="Q409" s="12" t="e">
        <v>#N/A</v>
      </c>
    </row>
    <row r="410" ht="24" hidden="1" spans="1:17">
      <c r="A410" s="66" t="s">
        <v>2469</v>
      </c>
      <c r="B410" s="75" t="s">
        <v>2470</v>
      </c>
      <c r="C410" s="66" t="str">
        <f>"661506400160200"</f>
        <v>661506400160200</v>
      </c>
      <c r="Q410" s="12" t="e">
        <v>#N/A</v>
      </c>
    </row>
    <row r="411" ht="24" hidden="1" spans="1:17">
      <c r="A411" s="65" t="s">
        <v>2471</v>
      </c>
      <c r="B411" s="75" t="s">
        <v>2472</v>
      </c>
      <c r="C411" s="65" t="str">
        <f>"66150640016000"</f>
        <v>66150640016000</v>
      </c>
      <c r="Q411" s="12" t="e">
        <v>#N/A</v>
      </c>
    </row>
    <row r="412" ht="24" hidden="1" spans="1:17">
      <c r="A412" s="65" t="s">
        <v>2473</v>
      </c>
      <c r="B412" s="75" t="s">
        <v>2474</v>
      </c>
      <c r="C412" s="65" t="str">
        <f>"661506400157000"</f>
        <v>661506400157000</v>
      </c>
      <c r="Q412" s="12" t="e">
        <v>#N/A</v>
      </c>
    </row>
    <row r="413" ht="24" hidden="1" spans="1:17">
      <c r="A413" s="66" t="s">
        <v>2475</v>
      </c>
      <c r="B413" s="75" t="s">
        <v>2476</v>
      </c>
      <c r="C413" s="66" t="str">
        <f>"66150640015648"</f>
        <v>66150640015648</v>
      </c>
      <c r="Q413" s="12" t="e">
        <v>#N/A</v>
      </c>
    </row>
    <row r="414" ht="24" hidden="1" spans="1:17">
      <c r="A414" s="66" t="s">
        <v>2477</v>
      </c>
      <c r="B414" s="75" t="s">
        <v>2478</v>
      </c>
      <c r="C414" s="66" t="str">
        <f>"66150640015647"</f>
        <v>66150640015647</v>
      </c>
      <c r="Q414" s="12" t="e">
        <v>#N/A</v>
      </c>
    </row>
    <row r="415" ht="24" hidden="1" spans="1:17">
      <c r="A415" s="65" t="s">
        <v>2479</v>
      </c>
      <c r="B415" s="75" t="s">
        <v>2480</v>
      </c>
      <c r="C415" s="65" t="str">
        <f>"66150640015568"</f>
        <v>66150640015568</v>
      </c>
      <c r="Q415" s="12" t="e">
        <v>#N/A</v>
      </c>
    </row>
    <row r="416" ht="24" hidden="1" spans="1:17">
      <c r="A416" s="65" t="s">
        <v>2481</v>
      </c>
      <c r="B416" s="75" t="s">
        <v>2482</v>
      </c>
      <c r="C416" s="65" t="str">
        <f>"66150640015521"</f>
        <v>66150640015521</v>
      </c>
      <c r="Q416" s="12" t="e">
        <v>#N/A</v>
      </c>
    </row>
    <row r="417" ht="24" hidden="1" spans="1:17">
      <c r="A417" s="65" t="s">
        <v>2483</v>
      </c>
      <c r="B417" s="75" t="s">
        <v>2484</v>
      </c>
      <c r="C417" s="65" t="str">
        <f>"66150640015505"</f>
        <v>66150640015505</v>
      </c>
      <c r="Q417" s="12" t="e">
        <v>#N/A</v>
      </c>
    </row>
    <row r="418" ht="24" hidden="1" spans="1:17">
      <c r="A418" s="66" t="s">
        <v>2485</v>
      </c>
      <c r="B418" s="81" t="s">
        <v>2486</v>
      </c>
      <c r="C418" s="66" t="str">
        <f>"66150640015469"</f>
        <v>66150640015469</v>
      </c>
      <c r="Q418" s="12" t="e">
        <v>#N/A</v>
      </c>
    </row>
    <row r="419" ht="24" hidden="1" spans="1:17">
      <c r="A419" s="66" t="s">
        <v>2487</v>
      </c>
      <c r="B419" s="81" t="s">
        <v>2488</v>
      </c>
      <c r="C419" s="66" t="str">
        <f>"66150640015430"</f>
        <v>66150640015430</v>
      </c>
      <c r="Q419" s="12" t="e">
        <v>#N/A</v>
      </c>
    </row>
    <row r="420" ht="24" hidden="1" spans="1:17">
      <c r="A420" s="66" t="s">
        <v>2489</v>
      </c>
      <c r="B420" s="81" t="s">
        <v>2490</v>
      </c>
      <c r="C420" s="66" t="str">
        <f>"66150640015420"</f>
        <v>66150640015420</v>
      </c>
      <c r="Q420" s="12" t="e">
        <v>#N/A</v>
      </c>
    </row>
    <row r="421" ht="24" hidden="1" spans="1:17">
      <c r="A421" s="66" t="s">
        <v>2491</v>
      </c>
      <c r="B421" s="75" t="s">
        <v>2492</v>
      </c>
      <c r="C421" s="66" t="str">
        <f>"66150640015419"</f>
        <v>66150640015419</v>
      </c>
      <c r="Q421" s="12" t="e">
        <v>#N/A</v>
      </c>
    </row>
    <row r="422" ht="24" hidden="1" spans="1:17">
      <c r="A422" s="66" t="s">
        <v>2493</v>
      </c>
      <c r="B422" s="75" t="s">
        <v>2494</v>
      </c>
      <c r="C422" s="66" t="str">
        <f>"66150640015417"</f>
        <v>66150640015417</v>
      </c>
      <c r="Q422" s="12" t="e">
        <v>#N/A</v>
      </c>
    </row>
    <row r="423" ht="24" hidden="1" spans="1:17">
      <c r="A423" s="65" t="s">
        <v>2495</v>
      </c>
      <c r="B423" s="75" t="s">
        <v>2496</v>
      </c>
      <c r="C423" s="65" t="str">
        <f>"66150640015292"</f>
        <v>66150640015292</v>
      </c>
      <c r="Q423" s="12" t="e">
        <v>#N/A</v>
      </c>
    </row>
    <row r="424" ht="24" hidden="1" spans="1:17">
      <c r="A424" s="66" t="s">
        <v>2497</v>
      </c>
      <c r="B424" s="75" t="s">
        <v>2498</v>
      </c>
      <c r="C424" s="66" t="str">
        <f>"66150640015253"</f>
        <v>66150640015253</v>
      </c>
      <c r="Q424" s="12" t="e">
        <v>#N/A</v>
      </c>
    </row>
    <row r="425" ht="24" hidden="1" spans="1:17">
      <c r="A425" s="65" t="s">
        <v>2499</v>
      </c>
      <c r="B425" s="75" t="s">
        <v>2500</v>
      </c>
      <c r="C425" s="65" t="str">
        <f>"66150640015149"</f>
        <v>66150640015149</v>
      </c>
      <c r="Q425" s="12" t="e">
        <v>#N/A</v>
      </c>
    </row>
    <row r="426" ht="24" hidden="1" spans="1:17">
      <c r="A426" s="65" t="s">
        <v>2501</v>
      </c>
      <c r="B426" s="75" t="s">
        <v>2502</v>
      </c>
      <c r="C426" s="65" t="str">
        <f>"661506400150500"</f>
        <v>661506400150500</v>
      </c>
      <c r="Q426" s="12" t="e">
        <v>#N/A</v>
      </c>
    </row>
    <row r="427" ht="24" hidden="1" spans="1:17">
      <c r="A427" s="66" t="s">
        <v>2503</v>
      </c>
      <c r="B427" s="75" t="s">
        <v>2504</v>
      </c>
      <c r="C427" s="66" t="str">
        <f>"66150640014989"</f>
        <v>66150640014989</v>
      </c>
      <c r="Q427" s="12" t="e">
        <v>#N/A</v>
      </c>
    </row>
    <row r="428" ht="24" hidden="1" spans="1:17">
      <c r="A428" s="26" t="s">
        <v>2505</v>
      </c>
      <c r="B428" s="76" t="s">
        <v>2506</v>
      </c>
      <c r="C428" s="26" t="str">
        <f>"66150640014938"</f>
        <v>66150640014938</v>
      </c>
      <c r="Q428" s="12" t="e">
        <v>#N/A</v>
      </c>
    </row>
    <row r="429" ht="24" hidden="1" spans="1:17">
      <c r="A429" s="26" t="s">
        <v>2507</v>
      </c>
      <c r="B429" s="76" t="s">
        <v>2508</v>
      </c>
      <c r="C429" s="26" t="str">
        <f>"66150640014409"</f>
        <v>66150640014409</v>
      </c>
      <c r="Q429" s="12" t="e">
        <v>#N/A</v>
      </c>
    </row>
    <row r="430" ht="24" hidden="1" spans="1:17">
      <c r="A430" s="65" t="s">
        <v>2509</v>
      </c>
      <c r="B430" s="75" t="s">
        <v>2510</v>
      </c>
      <c r="C430" s="65" t="str">
        <f>"66150640014368"</f>
        <v>66150640014368</v>
      </c>
      <c r="Q430" s="12" t="e">
        <v>#N/A</v>
      </c>
    </row>
    <row r="431" ht="24" spans="1:17">
      <c r="A431" s="64" t="s">
        <v>2511</v>
      </c>
      <c r="B431" s="76" t="s">
        <v>2512</v>
      </c>
      <c r="C431" s="64" t="str">
        <f>"661506400140600"</f>
        <v>661506400140600</v>
      </c>
      <c r="Q431" s="12" t="e">
        <v>#N/A</v>
      </c>
    </row>
    <row r="432" ht="24" spans="1:17">
      <c r="A432" s="64" t="s">
        <v>2513</v>
      </c>
      <c r="B432" s="76" t="s">
        <v>2514</v>
      </c>
      <c r="C432" s="64" t="str">
        <f>"66150640013964"</f>
        <v>66150640013964</v>
      </c>
      <c r="Q432" s="12" t="e">
        <v>#N/A</v>
      </c>
    </row>
    <row r="433" ht="24" hidden="1" spans="1:17">
      <c r="A433" s="66" t="s">
        <v>2515</v>
      </c>
      <c r="B433" s="81" t="s">
        <v>2516</v>
      </c>
      <c r="C433" s="66" t="str">
        <f>"66150640013590"</f>
        <v>66150640013590</v>
      </c>
      <c r="Q433" s="12" t="e">
        <v>#N/A</v>
      </c>
    </row>
    <row r="434" ht="24" hidden="1" spans="1:17">
      <c r="A434" s="66" t="s">
        <v>2517</v>
      </c>
      <c r="B434" s="81" t="s">
        <v>2518</v>
      </c>
      <c r="C434" s="66" t="str">
        <f>"66150640013323"</f>
        <v>66150640013323</v>
      </c>
      <c r="Q434" s="12" t="e">
        <v>#N/A</v>
      </c>
    </row>
    <row r="435" ht="24" hidden="1" spans="1:17">
      <c r="A435" s="77" t="s">
        <v>2519</v>
      </c>
      <c r="B435" s="83" t="s">
        <v>2520</v>
      </c>
      <c r="C435" s="77" t="str">
        <f>"661506400132400"</f>
        <v>661506400132400</v>
      </c>
      <c r="Q435" s="12" t="e">
        <v>#N/A</v>
      </c>
    </row>
    <row r="436" ht="24" hidden="1" spans="1:17">
      <c r="A436" s="65" t="s">
        <v>2521</v>
      </c>
      <c r="B436" s="75" t="s">
        <v>2522</v>
      </c>
      <c r="C436" s="65" t="str">
        <f>"661506400130500"</f>
        <v>661506400130500</v>
      </c>
      <c r="Q436" s="12" t="e">
        <v>#N/A</v>
      </c>
    </row>
    <row r="437" ht="24" hidden="1" spans="1:17">
      <c r="A437" s="66" t="s">
        <v>2523</v>
      </c>
      <c r="B437" s="81" t="s">
        <v>2524</v>
      </c>
      <c r="C437" s="66" t="str">
        <f>"661506400126800"</f>
        <v>661506400126800</v>
      </c>
      <c r="Q437" s="12" t="e">
        <v>#N/A</v>
      </c>
    </row>
    <row r="438" ht="24" hidden="1" spans="1:17">
      <c r="A438" s="26" t="s">
        <v>2525</v>
      </c>
      <c r="B438" s="76" t="s">
        <v>2526</v>
      </c>
      <c r="C438" s="26" t="str">
        <f>"66150640012001"</f>
        <v>66150640012001</v>
      </c>
      <c r="Q438" s="12" t="e">
        <v>#N/A</v>
      </c>
    </row>
    <row r="439" ht="24" hidden="1" spans="1:17">
      <c r="A439" s="65" t="s">
        <v>2527</v>
      </c>
      <c r="B439" s="75" t="s">
        <v>2528</v>
      </c>
      <c r="C439" s="65" t="str">
        <f>"66150640011973"</f>
        <v>66150640011973</v>
      </c>
      <c r="Q439" s="12" t="e">
        <v>#N/A</v>
      </c>
    </row>
    <row r="440" ht="24" spans="1:17">
      <c r="A440" s="26" t="s">
        <v>2529</v>
      </c>
      <c r="B440" s="76" t="s">
        <v>2530</v>
      </c>
      <c r="C440" s="26" t="str">
        <f>"66150640011861"</f>
        <v>66150640011861</v>
      </c>
      <c r="Q440" s="12" t="e">
        <v>#N/A</v>
      </c>
    </row>
    <row r="441" ht="24" hidden="1" spans="1:17">
      <c r="A441" s="26" t="s">
        <v>2531</v>
      </c>
      <c r="B441" s="76" t="s">
        <v>2532</v>
      </c>
      <c r="C441" s="26" t="str">
        <f>"66150640011842"</f>
        <v>66150640011842</v>
      </c>
      <c r="Q441" s="12" t="e">
        <v>#N/A</v>
      </c>
    </row>
    <row r="442" ht="24" hidden="1" spans="1:17">
      <c r="A442" s="65" t="s">
        <v>2533</v>
      </c>
      <c r="B442" s="75" t="s">
        <v>2534</v>
      </c>
      <c r="C442" s="65" t="str">
        <f>"66150640011801"</f>
        <v>66150640011801</v>
      </c>
      <c r="Q442" s="12" t="e">
        <v>#N/A</v>
      </c>
    </row>
    <row r="443" ht="24" hidden="1" spans="1:17">
      <c r="A443" s="65" t="s">
        <v>2535</v>
      </c>
      <c r="B443" s="75" t="s">
        <v>2536</v>
      </c>
      <c r="C443" s="65" t="str">
        <f>"66150640011761"</f>
        <v>66150640011761</v>
      </c>
      <c r="Q443" s="12" t="e">
        <v>#N/A</v>
      </c>
    </row>
    <row r="444" ht="24" hidden="1" spans="1:17">
      <c r="A444" s="77" t="s">
        <v>2537</v>
      </c>
      <c r="B444" s="83" t="s">
        <v>2538</v>
      </c>
      <c r="C444" s="77" t="str">
        <f>"66150640011727"</f>
        <v>66150640011727</v>
      </c>
      <c r="Q444" s="12" t="e">
        <v>#N/A</v>
      </c>
    </row>
    <row r="445" ht="24" hidden="1" spans="1:17">
      <c r="A445" s="65" t="s">
        <v>2539</v>
      </c>
      <c r="B445" s="75" t="s">
        <v>2540</v>
      </c>
      <c r="C445" s="65" t="str">
        <f>"66150640011725"</f>
        <v>66150640011725</v>
      </c>
      <c r="Q445" s="12" t="e">
        <v>#N/A</v>
      </c>
    </row>
    <row r="446" ht="24" spans="1:17">
      <c r="A446" s="64" t="s">
        <v>2541</v>
      </c>
      <c r="B446" s="76" t="s">
        <v>2542</v>
      </c>
      <c r="C446" s="64" t="str">
        <f>"66150640011724"</f>
        <v>66150640011724</v>
      </c>
      <c r="Q446" s="12" t="e">
        <v>#N/A</v>
      </c>
    </row>
    <row r="447" ht="24" hidden="1" spans="1:17">
      <c r="A447" s="84" t="s">
        <v>2543</v>
      </c>
      <c r="B447" s="84" t="s">
        <v>2544</v>
      </c>
      <c r="C447" s="66" t="str">
        <f>"66150640011723"</f>
        <v>66150640011723</v>
      </c>
      <c r="Q447" s="12" t="e">
        <v>#N/A</v>
      </c>
    </row>
    <row r="448" ht="24" hidden="1" spans="1:17">
      <c r="A448" s="65" t="s">
        <v>2545</v>
      </c>
      <c r="B448" s="75" t="s">
        <v>2546</v>
      </c>
      <c r="C448" s="65" t="str">
        <f>"661506400116800"</f>
        <v>661506400116800</v>
      </c>
      <c r="Q448" s="12" t="e">
        <v>#N/A</v>
      </c>
    </row>
    <row r="449" ht="24" spans="1:17">
      <c r="A449" s="64" t="s">
        <v>2547</v>
      </c>
      <c r="B449" s="76" t="s">
        <v>2548</v>
      </c>
      <c r="C449" s="64" t="str">
        <f>"66150640011644"</f>
        <v>66150640011644</v>
      </c>
      <c r="Q449" s="12" t="e">
        <v>#N/A</v>
      </c>
    </row>
    <row r="450" ht="24" spans="1:17">
      <c r="A450" s="26" t="s">
        <v>2549</v>
      </c>
      <c r="B450" s="76" t="s">
        <v>2550</v>
      </c>
      <c r="C450" s="26" t="str">
        <f>"661506400114600"</f>
        <v>661506400114600</v>
      </c>
      <c r="Q450" s="12" t="e">
        <v>#N/A</v>
      </c>
    </row>
    <row r="451" ht="24" hidden="1" spans="1:17">
      <c r="A451" s="65" t="s">
        <v>2551</v>
      </c>
      <c r="B451" s="75" t="s">
        <v>2552</v>
      </c>
      <c r="C451" s="65" t="str">
        <f>"661506400111000"</f>
        <v>661506400111000</v>
      </c>
      <c r="Q451" s="12" t="e">
        <v>#N/A</v>
      </c>
    </row>
    <row r="452" ht="24" hidden="1" spans="1:17">
      <c r="A452" s="65" t="s">
        <v>2553</v>
      </c>
      <c r="B452" s="75" t="s">
        <v>2554</v>
      </c>
      <c r="C452" s="65" t="str">
        <f>"661506400110700"</f>
        <v>661506400110700</v>
      </c>
      <c r="Q452" s="12" t="e">
        <v>#N/A</v>
      </c>
    </row>
    <row r="453" ht="24" hidden="1" spans="1:17">
      <c r="A453" s="26" t="s">
        <v>2555</v>
      </c>
      <c r="B453" s="76" t="s">
        <v>2556</v>
      </c>
      <c r="C453" s="26" t="str">
        <f>"66150640011022"</f>
        <v>66150640011022</v>
      </c>
      <c r="Q453" s="12" t="e">
        <v>#N/A</v>
      </c>
    </row>
    <row r="454" ht="24" hidden="1" spans="1:17">
      <c r="A454" s="65" t="s">
        <v>2557</v>
      </c>
      <c r="B454" s="75" t="s">
        <v>2558</v>
      </c>
      <c r="C454" s="65" t="str">
        <f>"661506400096200"</f>
        <v>661506400096200</v>
      </c>
      <c r="Q454" s="12" t="e">
        <v>#N/A</v>
      </c>
    </row>
    <row r="455" ht="24" hidden="1" spans="1:17">
      <c r="A455" s="66" t="s">
        <v>2559</v>
      </c>
      <c r="B455" s="81" t="s">
        <v>2560</v>
      </c>
      <c r="C455" s="66" t="str">
        <f>"661506400084200"</f>
        <v>661506400084200</v>
      </c>
      <c r="Q455" s="12" t="e">
        <v>#N/A</v>
      </c>
    </row>
    <row r="456" ht="24" hidden="1" spans="1:17">
      <c r="A456" s="65" t="s">
        <v>2561</v>
      </c>
      <c r="B456" s="75" t="s">
        <v>2562</v>
      </c>
      <c r="C456" s="65" t="str">
        <f>"661506400026100"</f>
        <v>661506400026100</v>
      </c>
      <c r="Q456" s="12" t="e">
        <v>#N/A</v>
      </c>
    </row>
    <row r="457" ht="24" hidden="1" spans="1:17">
      <c r="A457" s="65" t="s">
        <v>2563</v>
      </c>
      <c r="B457" s="75" t="s">
        <v>2564</v>
      </c>
      <c r="C457" s="65" t="str">
        <f>"661506400000700"</f>
        <v>661506400000700</v>
      </c>
      <c r="Q457" s="12" t="e">
        <v>#N/A</v>
      </c>
    </row>
    <row r="458" ht="24" hidden="1" spans="1:17">
      <c r="A458" s="26" t="s">
        <v>2565</v>
      </c>
      <c r="B458" s="76" t="s">
        <v>2566</v>
      </c>
      <c r="C458" s="26" t="str">
        <f>"661506278000000920"</f>
        <v>661506278000000920</v>
      </c>
      <c r="Q458" s="12" t="e">
        <v>#N/A</v>
      </c>
    </row>
    <row r="459" ht="24" hidden="1" spans="1:17">
      <c r="A459" s="66" t="s">
        <v>2567</v>
      </c>
      <c r="B459" s="81" t="s">
        <v>2568</v>
      </c>
      <c r="C459" s="66" t="str">
        <f>"661506277180800"</f>
        <v>661506277180800</v>
      </c>
      <c r="Q459" s="12" t="e">
        <v>#N/A</v>
      </c>
    </row>
    <row r="460" ht="24" hidden="1" spans="1:17">
      <c r="A460" s="65" t="s">
        <v>2569</v>
      </c>
      <c r="B460" s="75" t="s">
        <v>2570</v>
      </c>
      <c r="C460" s="65" t="str">
        <f>"661506276388500"</f>
        <v>661506276388500</v>
      </c>
      <c r="Q460" s="12" t="e">
        <v>#N/A</v>
      </c>
    </row>
    <row r="461" ht="24" hidden="1" spans="1:17">
      <c r="A461" s="77" t="s">
        <v>2571</v>
      </c>
      <c r="B461" s="83" t="s">
        <v>2572</v>
      </c>
      <c r="C461" s="77" t="str">
        <f>"661506029982400"</f>
        <v>661506029982400</v>
      </c>
      <c r="Q461" s="12" t="e">
        <v>#N/A</v>
      </c>
    </row>
    <row r="462" ht="24" spans="1:17">
      <c r="A462" s="26" t="s">
        <v>2573</v>
      </c>
      <c r="B462" s="91" t="s">
        <v>2574</v>
      </c>
      <c r="C462" s="26" t="str">
        <f>"259100366618"</f>
        <v>259100366618</v>
      </c>
      <c r="Q462" s="12" t="e">
        <v>#N/A</v>
      </c>
    </row>
    <row r="463" ht="24" hidden="1" spans="1:17">
      <c r="A463" s="26" t="s">
        <v>2575</v>
      </c>
      <c r="B463" s="76" t="s">
        <v>2576</v>
      </c>
      <c r="C463" s="26" t="str">
        <f>"1506406305900"</f>
        <v>1506406305900</v>
      </c>
      <c r="Q463" s="12" t="e">
        <v>#N/A</v>
      </c>
    </row>
    <row r="464" ht="24" hidden="1" spans="1:17">
      <c r="A464" s="82" t="s">
        <v>8</v>
      </c>
      <c r="B464" s="92" t="s">
        <v>2577</v>
      </c>
      <c r="C464" s="82" t="str">
        <f>"66259100369626"</f>
        <v>66259100369626</v>
      </c>
      <c r="Q464" s="12">
        <v>1</v>
      </c>
    </row>
    <row r="465" ht="24" hidden="1" spans="1:17">
      <c r="A465" s="82" t="s">
        <v>2578</v>
      </c>
      <c r="B465" s="92" t="s">
        <v>2579</v>
      </c>
      <c r="C465" s="82" t="str">
        <f>"661506409916800"</f>
        <v>661506409916800</v>
      </c>
      <c r="Q465" s="12" t="e">
        <v>#N/A</v>
      </c>
    </row>
    <row r="466" ht="24" hidden="1" spans="1:17">
      <c r="A466" s="82" t="s">
        <v>2580</v>
      </c>
      <c r="B466" s="92" t="s">
        <v>2581</v>
      </c>
      <c r="C466" s="82" t="str">
        <f>"1506404674700"</f>
        <v>1506404674700</v>
      </c>
      <c r="Q466" s="12" t="e">
        <v>#N/A</v>
      </c>
    </row>
    <row r="467" ht="24" hidden="1" spans="1:17">
      <c r="A467" s="77" t="s">
        <v>19</v>
      </c>
      <c r="B467" s="91"/>
      <c r="C467" s="119" t="s">
        <v>2582</v>
      </c>
      <c r="Q467" s="12">
        <v>1</v>
      </c>
    </row>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2:WCF467" etc:filterBottomFollowUsedRange="0">
    <filterColumn colId="16">
      <customFilters>
        <customFilter operator="equal" val="#N/A"/>
      </customFilters>
    </filterColumn>
    <extLst/>
  </autoFilter>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公示名单（免申即享）第一批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WPS_1678102287</cp:lastModifiedBy>
  <dcterms:created xsi:type="dcterms:W3CDTF">2024-09-12T03:01:00Z</dcterms:created>
  <dcterms:modified xsi:type="dcterms:W3CDTF">2025-06-18T02:44:47Z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85C29654A61E4080AA455A42556235C2_13</vt:lpwstr>
  </property>
  <property fmtid="{D5CDD505-2E9C-101B-9397-08002B2CF9AE}" pid="3" name="KSOProductBuildVer">
    <vt:lpwstr>2052-12.1.0.21541</vt:lpwstr>
  </property>
</Properties>
</file>